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1"/>
  </bookViews>
  <sheets>
    <sheet name="august" sheetId="1" r:id="rId1"/>
    <sheet name="Oct" sheetId="2" r:id="rId2"/>
    <sheet name="worsheet" sheetId="3" r:id="rId3"/>
    <sheet name="sept" sheetId="4" r:id="rId4"/>
  </sheets>
  <definedNames>
    <definedName name="_xlnm.Print_Area" localSheetId="0">'august'!$B$1:$G$66</definedName>
    <definedName name="_xlnm.Print_Area" localSheetId="1">'Oct'!$B$1:$G$66</definedName>
    <definedName name="_xlnm.Print_Area" localSheetId="3">'sept'!$B$1:$G$67</definedName>
  </definedNames>
  <calcPr fullCalcOnLoad="1"/>
</workbook>
</file>

<file path=xl/sharedStrings.xml><?xml version="1.0" encoding="utf-8"?>
<sst xmlns="http://schemas.openxmlformats.org/spreadsheetml/2006/main" count="308" uniqueCount="109">
  <si>
    <t>Total Income</t>
  </si>
  <si>
    <t>Total Expenses</t>
  </si>
  <si>
    <t>Income Less Expenses</t>
  </si>
  <si>
    <t>Actual</t>
  </si>
  <si>
    <t>Budgeted</t>
  </si>
  <si>
    <t>YTD Actual</t>
  </si>
  <si>
    <t>YTD Budgeted</t>
  </si>
  <si>
    <t>Yearly Budgeted</t>
  </si>
  <si>
    <t>Income:</t>
  </si>
  <si>
    <t xml:space="preserve">Offertory </t>
  </si>
  <si>
    <t>2nd Collection (Parish)</t>
  </si>
  <si>
    <t>Grand Annual</t>
  </si>
  <si>
    <t>Candles</t>
  </si>
  <si>
    <t>Religious Education</t>
  </si>
  <si>
    <t>Donations</t>
  </si>
  <si>
    <t>Totals Income</t>
  </si>
  <si>
    <t>Expenses:</t>
  </si>
  <si>
    <t>Witholdings</t>
  </si>
  <si>
    <t>Payroll System</t>
  </si>
  <si>
    <t>FICA</t>
  </si>
  <si>
    <t>Clergy Medical</t>
  </si>
  <si>
    <t>Lay Benefits</t>
  </si>
  <si>
    <t>Central Monlthly Tithe</t>
  </si>
  <si>
    <t>Total Withholdings</t>
  </si>
  <si>
    <t>Salaries:</t>
  </si>
  <si>
    <t>Clergy Salaries</t>
  </si>
  <si>
    <t>Clergy Assistance</t>
  </si>
  <si>
    <t>Staff Salaries</t>
  </si>
  <si>
    <t>Fixed Expenses:</t>
  </si>
  <si>
    <t>Bulidings and Grounds</t>
  </si>
  <si>
    <t>Parish Renovations</t>
  </si>
  <si>
    <t>Heat (Gas &amp; Oil)</t>
  </si>
  <si>
    <t>Water</t>
  </si>
  <si>
    <t>Eversource</t>
  </si>
  <si>
    <t>Household / Groceries</t>
  </si>
  <si>
    <t>Janitorial Services / Dumpster</t>
  </si>
  <si>
    <t>Office Supplies</t>
  </si>
  <si>
    <t>Church Supplies</t>
  </si>
  <si>
    <t>Religious Education Expenses</t>
  </si>
  <si>
    <t>Verizon</t>
  </si>
  <si>
    <t>Lifeteen Expenses</t>
  </si>
  <si>
    <t>Total Fixed Expenses</t>
  </si>
  <si>
    <t>Rent</t>
  </si>
  <si>
    <t>Health</t>
  </si>
  <si>
    <t>Work Comp</t>
  </si>
  <si>
    <t>Group life</t>
  </si>
  <si>
    <t>LT disab.</t>
  </si>
  <si>
    <t>Group Pension</t>
  </si>
  <si>
    <t>Trans assistance</t>
  </si>
  <si>
    <t>401K</t>
  </si>
  <si>
    <t>Act</t>
  </si>
  <si>
    <t>Budget</t>
  </si>
  <si>
    <t xml:space="preserve">   Total</t>
  </si>
  <si>
    <t>Lay Salaries</t>
  </si>
  <si>
    <t>Exempt</t>
  </si>
  <si>
    <t>Non exempt</t>
  </si>
  <si>
    <t>Equipment Repair &amp; Contracts</t>
  </si>
  <si>
    <t>Equipment Rental</t>
  </si>
  <si>
    <t>Buildings &amp; Grounds</t>
  </si>
  <si>
    <t>Maaint Supplies</t>
  </si>
  <si>
    <t>Maint Grounds</t>
  </si>
  <si>
    <t>Maint Buildings</t>
  </si>
  <si>
    <t>Pastoral Liturgical</t>
  </si>
  <si>
    <t>Vehicle Expense</t>
  </si>
  <si>
    <t>Printing</t>
  </si>
  <si>
    <t>Postage</t>
  </si>
  <si>
    <t>Dues Subscriptions</t>
  </si>
  <si>
    <t>Non employee</t>
  </si>
  <si>
    <t>audio</t>
  </si>
  <si>
    <t>Bank charges</t>
  </si>
  <si>
    <t>Monthly</t>
  </si>
  <si>
    <t>YTD</t>
  </si>
  <si>
    <t xml:space="preserve">Annual </t>
  </si>
  <si>
    <t>Other</t>
  </si>
  <si>
    <t>Retreats</t>
  </si>
  <si>
    <t>Sacramental Offerings</t>
  </si>
  <si>
    <t>Office Expense</t>
  </si>
  <si>
    <t>Misslets / Envelopes</t>
  </si>
  <si>
    <t>CYO Expenses</t>
  </si>
  <si>
    <t>Payments to Debt</t>
  </si>
  <si>
    <t>This Financial Report for July and August has been prepared to allow you to have access to the financial matters of the Parish.</t>
  </si>
  <si>
    <t xml:space="preserve">We want you to know that we take serious our financial responsibilities in managing your donations.  If you have any questions </t>
  </si>
  <si>
    <t>please conrtact Fr. Wayne or any member of the Finacial Council.  Thank you for your support to the Parish.</t>
  </si>
  <si>
    <t>Parish Budget , September 2016</t>
  </si>
  <si>
    <t>Fundraisng / Reimbursements</t>
  </si>
  <si>
    <t>Insurance-Hazard Liab.</t>
  </si>
  <si>
    <t>Total Finance Payments</t>
  </si>
  <si>
    <t>5102 to 5110</t>
  </si>
  <si>
    <t>5001 to 5004</t>
  </si>
  <si>
    <t>6250/6261</t>
  </si>
  <si>
    <t>6501-01</t>
  </si>
  <si>
    <t>6204-04/6501-02</t>
  </si>
  <si>
    <t>6204/6211</t>
  </si>
  <si>
    <t>6505-07</t>
  </si>
  <si>
    <t>6401/6402</t>
  </si>
  <si>
    <t>5202/5304</t>
  </si>
  <si>
    <t>6307/6308/6309/6302</t>
  </si>
  <si>
    <t>6505-06/6261-05</t>
  </si>
  <si>
    <t>6500/6261-01</t>
  </si>
  <si>
    <t>6003/6201/6207/6205</t>
  </si>
  <si>
    <t>Capital Campaign</t>
  </si>
  <si>
    <t>Fundraisng / Reim. (Life Teen Fundraising $10,760)</t>
  </si>
  <si>
    <t>This Financial Report for July thru September has been prepared to allow you to have access to the financial matters of the Parish.</t>
  </si>
  <si>
    <t>October</t>
  </si>
  <si>
    <t>Parish Budget , October 2016</t>
  </si>
  <si>
    <t>Jul - Oct</t>
  </si>
  <si>
    <t>Jul - Jun</t>
  </si>
  <si>
    <t>please contact Fr. Wayne or any member of the Finance Council.  Thank you for your support to the Parish.</t>
  </si>
  <si>
    <t>Payroll/ EFT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</si>
</sst>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2" fillId="0" borderId="2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center"/>
    </xf>
    <xf numFmtId="44" fontId="2" fillId="2" borderId="0" xfId="0" applyNumberFormat="1" applyFont="1" applyFill="1" applyAlignment="1">
      <alignment/>
    </xf>
    <xf numFmtId="44" fontId="0" fillId="2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47.8515625" style="2" customWidth="1"/>
    <col min="3" max="3" width="11.7109375" style="2" customWidth="1"/>
    <col min="4" max="4" width="11.8515625" style="2" customWidth="1"/>
    <col min="5" max="5" width="13.140625" style="2" customWidth="1"/>
    <col min="6" max="6" width="15.28125" style="2" customWidth="1"/>
    <col min="7" max="7" width="17.421875" style="2" customWidth="1"/>
    <col min="8" max="8" width="12.28125" style="2" bestFit="1" customWidth="1"/>
    <col min="9" max="9" width="9.140625" style="2" customWidth="1"/>
    <col min="10" max="10" width="14.00390625" style="2" bestFit="1" customWidth="1"/>
    <col min="11" max="16384" width="9.140625" style="2" customWidth="1"/>
  </cols>
  <sheetData>
    <row r="1" spans="3:7" s="1" customFormat="1" ht="12.75"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</row>
    <row r="2" ht="12.75">
      <c r="B2" s="2" t="s">
        <v>83</v>
      </c>
    </row>
    <row r="4" spans="2:7" ht="12.75">
      <c r="B4" s="2" t="s">
        <v>0</v>
      </c>
      <c r="C4" s="2">
        <f>66692+1225</f>
        <v>67917</v>
      </c>
      <c r="D4" s="2">
        <f>51999+1225</f>
        <v>53224</v>
      </c>
      <c r="E4" s="2">
        <f>120512+3094</f>
        <v>123606</v>
      </c>
      <c r="F4" s="2">
        <f>115373+3094</f>
        <v>118467</v>
      </c>
      <c r="G4" s="2">
        <f>833697+3094</f>
        <v>836791</v>
      </c>
    </row>
    <row r="5" spans="2:7" s="3" customFormat="1" ht="12.75">
      <c r="B5" s="3" t="s">
        <v>1</v>
      </c>
      <c r="C5" s="3">
        <f>64602+1225</f>
        <v>65827</v>
      </c>
      <c r="D5" s="3">
        <f>61413+1225</f>
        <v>62638</v>
      </c>
      <c r="E5" s="3">
        <f>119882+3094</f>
        <v>122976</v>
      </c>
      <c r="F5" s="3">
        <f>115535+3094</f>
        <v>118629</v>
      </c>
      <c r="G5" s="3">
        <f>779516+3094</f>
        <v>782610</v>
      </c>
    </row>
    <row r="6" spans="2:7" s="4" customFormat="1" ht="12.75">
      <c r="B6" s="4" t="s">
        <v>2</v>
      </c>
      <c r="C6" s="4">
        <f>C4-C5</f>
        <v>2090</v>
      </c>
      <c r="D6" s="4">
        <f>D4-D5</f>
        <v>-9414</v>
      </c>
      <c r="E6" s="4">
        <f>E4-E5</f>
        <v>630</v>
      </c>
      <c r="F6" s="4">
        <f>F4-F5</f>
        <v>-162</v>
      </c>
      <c r="G6" s="4">
        <f>G4-G5</f>
        <v>54181</v>
      </c>
    </row>
    <row r="8" spans="2:7" ht="12.75">
      <c r="B8" s="5" t="s">
        <v>8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2:7" ht="12.75">
      <c r="B9" s="2" t="s">
        <v>9</v>
      </c>
      <c r="C9" s="5">
        <v>49433</v>
      </c>
      <c r="D9" s="2">
        <v>41200</v>
      </c>
      <c r="E9" s="2">
        <v>91034</v>
      </c>
      <c r="F9" s="2">
        <v>94200</v>
      </c>
      <c r="G9" s="2">
        <v>545785</v>
      </c>
    </row>
    <row r="10" spans="2:7" ht="12.75">
      <c r="B10" s="2" t="s">
        <v>10</v>
      </c>
      <c r="C10" s="5">
        <v>1225</v>
      </c>
      <c r="D10" s="2">
        <v>1225</v>
      </c>
      <c r="E10" s="2">
        <v>3094</v>
      </c>
      <c r="F10" s="2">
        <v>3094</v>
      </c>
      <c r="G10" s="2">
        <v>3094</v>
      </c>
    </row>
    <row r="11" spans="2:7" ht="12.75">
      <c r="B11" s="2" t="s">
        <v>11</v>
      </c>
      <c r="C11" s="5"/>
      <c r="G11" s="2">
        <v>89200</v>
      </c>
    </row>
    <row r="12" spans="2:7" ht="12.75">
      <c r="B12" s="2" t="s">
        <v>75</v>
      </c>
      <c r="C12" s="5">
        <v>5710</v>
      </c>
      <c r="D12" s="2">
        <v>4000</v>
      </c>
      <c r="E12" s="2">
        <v>8670</v>
      </c>
      <c r="F12" s="2">
        <v>8600</v>
      </c>
      <c r="G12" s="2">
        <v>62400</v>
      </c>
    </row>
    <row r="13" spans="2:7" ht="12.75">
      <c r="B13" s="2" t="s">
        <v>12</v>
      </c>
      <c r="C13" s="5"/>
      <c r="G13" s="2">
        <v>6800</v>
      </c>
    </row>
    <row r="14" spans="2:7" ht="12.75">
      <c r="B14" s="2" t="s">
        <v>13</v>
      </c>
      <c r="C14" s="5">
        <v>4225</v>
      </c>
      <c r="D14" s="2">
        <v>2200</v>
      </c>
      <c r="E14" s="2">
        <v>6625</v>
      </c>
      <c r="F14" s="2">
        <v>4200</v>
      </c>
      <c r="G14" s="2">
        <v>30350</v>
      </c>
    </row>
    <row r="15" spans="2:7" ht="12.75">
      <c r="B15" s="2" t="s">
        <v>14</v>
      </c>
      <c r="C15" s="5">
        <v>350</v>
      </c>
      <c r="D15" s="2">
        <v>750</v>
      </c>
      <c r="E15" s="2">
        <v>2080</v>
      </c>
      <c r="F15" s="2">
        <v>2250</v>
      </c>
      <c r="G15" s="2">
        <v>26575</v>
      </c>
    </row>
    <row r="16" spans="2:7" ht="12.75">
      <c r="B16" s="2" t="s">
        <v>73</v>
      </c>
      <c r="C16" s="5">
        <v>6</v>
      </c>
      <c r="D16" s="2">
        <v>24</v>
      </c>
      <c r="E16" s="2">
        <v>16</v>
      </c>
      <c r="F16" s="2">
        <v>48</v>
      </c>
      <c r="G16" s="2">
        <f>7350+5450+282+1325</f>
        <v>14407</v>
      </c>
    </row>
    <row r="17" spans="2:7" ht="12.75">
      <c r="B17" s="2" t="s">
        <v>84</v>
      </c>
      <c r="C17" s="5">
        <v>4968</v>
      </c>
      <c r="D17" s="2">
        <v>1825</v>
      </c>
      <c r="E17" s="2">
        <v>7487</v>
      </c>
      <c r="F17" s="2">
        <v>2075</v>
      </c>
      <c r="G17" s="2">
        <v>41380</v>
      </c>
    </row>
    <row r="18" spans="2:7" ht="12.75">
      <c r="B18" s="2" t="s">
        <v>42</v>
      </c>
      <c r="C18" s="5">
        <v>2000</v>
      </c>
      <c r="D18" s="2">
        <v>2000</v>
      </c>
      <c r="E18" s="2">
        <v>4600</v>
      </c>
      <c r="F18" s="2">
        <v>4000</v>
      </c>
      <c r="G18" s="2">
        <v>16800</v>
      </c>
    </row>
    <row r="19" spans="2:7" s="5" customFormat="1" ht="12.75">
      <c r="B19" s="5" t="s">
        <v>15</v>
      </c>
      <c r="C19" s="5">
        <f>SUM(C9:C18)</f>
        <v>67917</v>
      </c>
      <c r="D19" s="5">
        <f>SUM(D9:D18)</f>
        <v>53224</v>
      </c>
      <c r="E19" s="5">
        <f>SUM(E9:E18)</f>
        <v>123606</v>
      </c>
      <c r="F19" s="5">
        <f>SUM(F9:F18)</f>
        <v>118467</v>
      </c>
      <c r="G19" s="5">
        <f>SUM(G9:G18)</f>
        <v>836791</v>
      </c>
    </row>
    <row r="21" ht="12.75">
      <c r="B21" s="5" t="s">
        <v>16</v>
      </c>
    </row>
    <row r="22" spans="2:7" ht="12.75">
      <c r="B22" s="5" t="s">
        <v>17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</row>
    <row r="23" spans="2:7" ht="12.75">
      <c r="B23" s="2" t="s">
        <v>18</v>
      </c>
      <c r="C23" s="7">
        <v>213</v>
      </c>
      <c r="D23" s="2">
        <v>212</v>
      </c>
      <c r="E23" s="2">
        <v>429</v>
      </c>
      <c r="F23" s="2">
        <v>424</v>
      </c>
      <c r="G23" s="2">
        <v>2544</v>
      </c>
    </row>
    <row r="24" spans="2:7" ht="12.75">
      <c r="B24" s="2" t="s">
        <v>19</v>
      </c>
      <c r="C24" s="7">
        <v>1931</v>
      </c>
      <c r="D24" s="2">
        <v>1782</v>
      </c>
      <c r="E24" s="2">
        <v>3686</v>
      </c>
      <c r="F24" s="2">
        <v>3564</v>
      </c>
      <c r="G24" s="2">
        <v>23160</v>
      </c>
    </row>
    <row r="25" spans="2:7" ht="12.75">
      <c r="B25" s="2" t="s">
        <v>20</v>
      </c>
      <c r="C25" s="7">
        <v>2940</v>
      </c>
      <c r="D25" s="2">
        <v>2940</v>
      </c>
      <c r="E25" s="2">
        <v>5880</v>
      </c>
      <c r="F25" s="2">
        <v>5880</v>
      </c>
      <c r="G25" s="2">
        <v>35280</v>
      </c>
    </row>
    <row r="26" spans="2:7" ht="12.75">
      <c r="B26" s="2" t="s">
        <v>21</v>
      </c>
      <c r="C26" s="7">
        <f>721+64+101+53+786+554+68</f>
        <v>2347</v>
      </c>
      <c r="D26" s="2">
        <f>706+64+89+52+786+681+112</f>
        <v>2490</v>
      </c>
      <c r="E26" s="2">
        <f>1441+128+201+107+1572+137+1222</f>
        <v>4808</v>
      </c>
      <c r="F26" s="2">
        <f>1412+128+178+104+1572+224+1362</f>
        <v>4980</v>
      </c>
      <c r="G26" s="2">
        <f>8472+768+1068+624+9432+1344+8172</f>
        <v>29880</v>
      </c>
    </row>
    <row r="27" spans="2:7" ht="12.75">
      <c r="B27" s="2" t="s">
        <v>85</v>
      </c>
      <c r="C27" s="7">
        <v>2810</v>
      </c>
      <c r="D27" s="2">
        <v>2750</v>
      </c>
      <c r="E27" s="2">
        <v>5620</v>
      </c>
      <c r="F27" s="2">
        <v>5500</v>
      </c>
      <c r="G27" s="2">
        <v>33000</v>
      </c>
    </row>
    <row r="28" spans="2:7" ht="12.75">
      <c r="B28" s="2" t="s">
        <v>22</v>
      </c>
      <c r="C28" s="7">
        <v>5820</v>
      </c>
      <c r="D28" s="2">
        <v>5820</v>
      </c>
      <c r="E28" s="2">
        <v>11640</v>
      </c>
      <c r="F28" s="2">
        <f>11640+456</f>
        <v>12096</v>
      </c>
      <c r="G28" s="2">
        <f>69840+2736</f>
        <v>72576</v>
      </c>
    </row>
    <row r="29" spans="2:7" s="5" customFormat="1" ht="12.75">
      <c r="B29" s="5" t="s">
        <v>23</v>
      </c>
      <c r="C29" s="5">
        <f>SUM(C23:C28)</f>
        <v>16061</v>
      </c>
      <c r="D29" s="5">
        <f>SUM(D23:D28)</f>
        <v>15994</v>
      </c>
      <c r="E29" s="5">
        <f>SUM(E23:E28)</f>
        <v>32063</v>
      </c>
      <c r="F29" s="5">
        <f>SUM(F23:F28)</f>
        <v>32444</v>
      </c>
      <c r="G29" s="5">
        <f>SUM(G23:G28)</f>
        <v>196440</v>
      </c>
    </row>
    <row r="31" spans="2:7" ht="12.75">
      <c r="B31" s="5" t="s">
        <v>24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</row>
    <row r="32" spans="2:7" ht="12.75">
      <c r="B32" s="2" t="s">
        <v>25</v>
      </c>
      <c r="C32" s="7">
        <v>4990</v>
      </c>
      <c r="D32" s="2">
        <v>4985</v>
      </c>
      <c r="E32" s="2">
        <v>11332</v>
      </c>
      <c r="F32" s="2">
        <v>9970</v>
      </c>
      <c r="G32" s="2">
        <v>59820</v>
      </c>
    </row>
    <row r="33" spans="2:7" ht="12.75">
      <c r="B33" s="2" t="s">
        <v>26</v>
      </c>
      <c r="C33" s="7">
        <v>300</v>
      </c>
      <c r="D33" s="2">
        <v>500</v>
      </c>
      <c r="E33" s="2">
        <v>800</v>
      </c>
      <c r="F33" s="2">
        <v>1000</v>
      </c>
      <c r="G33" s="2">
        <v>6000</v>
      </c>
    </row>
    <row r="34" spans="2:7" ht="12.75">
      <c r="B34" s="2" t="s">
        <v>27</v>
      </c>
      <c r="C34" s="7">
        <f>11464+12795+1725</f>
        <v>25984</v>
      </c>
      <c r="D34" s="2">
        <f>13897+6355+1925</f>
        <v>22177</v>
      </c>
      <c r="E34" s="2">
        <f>22927+24407+3295</f>
        <v>50629</v>
      </c>
      <c r="F34" s="2">
        <f>27794+12710+3475</f>
        <v>43979</v>
      </c>
      <c r="G34" s="2">
        <f>180664+82896+27800</f>
        <v>291360</v>
      </c>
    </row>
    <row r="35" spans="2:7" s="5" customFormat="1" ht="12.75">
      <c r="B35" s="5" t="s">
        <v>86</v>
      </c>
      <c r="C35" s="5">
        <f>SUM(C32:C34)</f>
        <v>31274</v>
      </c>
      <c r="D35" s="5">
        <f>SUM(D32:D34)</f>
        <v>27662</v>
      </c>
      <c r="E35" s="5">
        <f>SUM(E32:E34)</f>
        <v>62761</v>
      </c>
      <c r="F35" s="5">
        <f>SUM(F32:F34)</f>
        <v>54949</v>
      </c>
      <c r="G35" s="5">
        <f>SUM(G32:G34)</f>
        <v>357180</v>
      </c>
    </row>
    <row r="37" spans="2:7" ht="12.75">
      <c r="B37" s="5" t="s">
        <v>28</v>
      </c>
      <c r="C37" s="6" t="s">
        <v>3</v>
      </c>
      <c r="D37" s="6" t="s">
        <v>4</v>
      </c>
      <c r="E37" s="6" t="s">
        <v>5</v>
      </c>
      <c r="F37" s="6" t="s">
        <v>6</v>
      </c>
      <c r="G37" s="6" t="s">
        <v>7</v>
      </c>
    </row>
    <row r="38" spans="2:7" ht="12.75">
      <c r="B38" s="2" t="s">
        <v>29</v>
      </c>
      <c r="C38" s="7">
        <f>12+1195+834</f>
        <v>2041</v>
      </c>
      <c r="D38" s="2">
        <f>508+800+732</f>
        <v>2040</v>
      </c>
      <c r="E38" s="2">
        <f>414+720+1409</f>
        <v>2543</v>
      </c>
      <c r="F38" s="2">
        <f>1016+1600+1464</f>
        <v>4080</v>
      </c>
      <c r="G38" s="2">
        <f>6096+24600+8784+4200+1200+5600</f>
        <v>50480</v>
      </c>
    </row>
    <row r="39" spans="2:3" ht="12.75">
      <c r="B39" s="2" t="s">
        <v>30</v>
      </c>
      <c r="C39" s="7"/>
    </row>
    <row r="40" spans="2:7" ht="12.75">
      <c r="B40" s="2" t="s">
        <v>31</v>
      </c>
      <c r="C40" s="7">
        <v>40</v>
      </c>
      <c r="D40" s="2">
        <v>2908</v>
      </c>
      <c r="E40" s="2">
        <v>1676</v>
      </c>
      <c r="F40" s="2">
        <v>1750</v>
      </c>
      <c r="G40" s="2">
        <f>8000+3550+10000</f>
        <v>21550</v>
      </c>
    </row>
    <row r="41" spans="2:7" ht="12.75">
      <c r="B41" s="2" t="s">
        <v>32</v>
      </c>
      <c r="C41" s="7">
        <v>99</v>
      </c>
      <c r="D41" s="2">
        <v>353</v>
      </c>
      <c r="E41" s="2">
        <v>208</v>
      </c>
      <c r="F41" s="2">
        <v>706</v>
      </c>
      <c r="G41" s="2">
        <v>4236</v>
      </c>
    </row>
    <row r="42" spans="2:7" ht="12.75">
      <c r="B42" s="2" t="s">
        <v>33</v>
      </c>
      <c r="C42" s="7">
        <v>3200</v>
      </c>
      <c r="D42" s="2">
        <v>1574</v>
      </c>
      <c r="E42" s="2">
        <v>3514</v>
      </c>
      <c r="F42" s="2">
        <v>3148</v>
      </c>
      <c r="G42" s="2">
        <v>18888</v>
      </c>
    </row>
    <row r="43" spans="2:7" ht="12.75">
      <c r="B43" s="2" t="s">
        <v>56</v>
      </c>
      <c r="C43" s="7">
        <v>1587</v>
      </c>
      <c r="D43" s="2">
        <v>585</v>
      </c>
      <c r="E43" s="2">
        <v>1587</v>
      </c>
      <c r="F43" s="2">
        <v>1170</v>
      </c>
      <c r="G43" s="2">
        <v>7020</v>
      </c>
    </row>
    <row r="44" spans="2:7" ht="12.75">
      <c r="B44" s="2" t="s">
        <v>57</v>
      </c>
      <c r="C44" s="7">
        <v>948</v>
      </c>
      <c r="D44" s="2">
        <f>197+266</f>
        <v>463</v>
      </c>
      <c r="E44" s="2">
        <v>1654</v>
      </c>
      <c r="F44" s="2">
        <v>394</v>
      </c>
      <c r="G44" s="2">
        <v>2364</v>
      </c>
    </row>
    <row r="45" spans="2:7" ht="12.75">
      <c r="B45" s="2" t="s">
        <v>64</v>
      </c>
      <c r="C45" s="7">
        <f>27</f>
        <v>27</v>
      </c>
      <c r="D45" s="2">
        <v>0</v>
      </c>
      <c r="E45" s="2">
        <v>27</v>
      </c>
      <c r="F45" s="2">
        <v>0</v>
      </c>
      <c r="G45" s="2">
        <v>3780</v>
      </c>
    </row>
    <row r="46" spans="2:7" ht="12.75">
      <c r="B46" s="2" t="s">
        <v>66</v>
      </c>
      <c r="C46" s="7">
        <v>748</v>
      </c>
      <c r="D46" s="2">
        <v>1307</v>
      </c>
      <c r="E46" s="2">
        <v>1489</v>
      </c>
      <c r="F46" s="2">
        <v>2614</v>
      </c>
      <c r="G46" s="2">
        <v>15684</v>
      </c>
    </row>
    <row r="47" spans="2:7" ht="12.75">
      <c r="B47" s="2" t="s">
        <v>78</v>
      </c>
      <c r="C47" s="7"/>
      <c r="G47" s="2">
        <v>5696</v>
      </c>
    </row>
    <row r="48" spans="2:7" ht="12.75">
      <c r="B48" s="2" t="s">
        <v>79</v>
      </c>
      <c r="C48" s="7">
        <v>1225</v>
      </c>
      <c r="D48" s="2">
        <v>1225</v>
      </c>
      <c r="E48" s="2">
        <v>3094</v>
      </c>
      <c r="F48" s="2">
        <v>3094</v>
      </c>
      <c r="G48" s="2">
        <v>3094</v>
      </c>
    </row>
    <row r="49" spans="2:7" ht="12.75">
      <c r="B49" s="2" t="s">
        <v>34</v>
      </c>
      <c r="C49" s="7">
        <v>1072</v>
      </c>
      <c r="D49" s="2">
        <v>583</v>
      </c>
      <c r="E49" s="2">
        <v>2141</v>
      </c>
      <c r="F49" s="2">
        <v>500</v>
      </c>
      <c r="G49" s="2">
        <v>3000</v>
      </c>
    </row>
    <row r="50" spans="2:3" ht="12.75">
      <c r="B50" s="2" t="s">
        <v>35</v>
      </c>
      <c r="C50" s="7"/>
    </row>
    <row r="51" spans="2:7" ht="12.75">
      <c r="B51" s="2" t="s">
        <v>76</v>
      </c>
      <c r="C51" s="7">
        <f>313+238</f>
        <v>551</v>
      </c>
      <c r="D51" s="2">
        <f>620+208+20+100+40+75</f>
        <v>1063</v>
      </c>
      <c r="E51" s="2">
        <f>457+528+94</f>
        <v>1079</v>
      </c>
      <c r="F51" s="2">
        <f>416+40+1240+80+200+750</f>
        <v>2726</v>
      </c>
      <c r="G51" s="2">
        <f>2496+240+7440+480+1200+750</f>
        <v>12606</v>
      </c>
    </row>
    <row r="52" spans="2:7" ht="12.75">
      <c r="B52" s="2" t="s">
        <v>37</v>
      </c>
      <c r="C52" s="7">
        <v>462</v>
      </c>
      <c r="D52" s="2">
        <f>153+200</f>
        <v>353</v>
      </c>
      <c r="E52" s="2">
        <f>1006</f>
        <v>1006</v>
      </c>
      <c r="F52" s="2">
        <v>1034</v>
      </c>
      <c r="G52" s="2">
        <v>6204</v>
      </c>
    </row>
    <row r="53" spans="2:7" ht="12.75">
      <c r="B53" s="2" t="s">
        <v>38</v>
      </c>
      <c r="C53" s="7">
        <v>371</v>
      </c>
      <c r="D53" s="2">
        <v>410</v>
      </c>
      <c r="E53" s="2">
        <v>371</v>
      </c>
      <c r="F53" s="2">
        <f>820+400</f>
        <v>1220</v>
      </c>
      <c r="G53" s="2">
        <f>4920+2400+1100</f>
        <v>8420</v>
      </c>
    </row>
    <row r="54" spans="2:7" ht="12.75">
      <c r="B54" s="2" t="s">
        <v>77</v>
      </c>
      <c r="C54" s="7">
        <v>574</v>
      </c>
      <c r="E54" s="2">
        <v>574</v>
      </c>
      <c r="F54" s="2">
        <f>532+400</f>
        <v>932</v>
      </c>
      <c r="G54" s="2">
        <f>2400+3192</f>
        <v>5592</v>
      </c>
    </row>
    <row r="55" spans="2:7" ht="12.75">
      <c r="B55" s="2" t="s">
        <v>39</v>
      </c>
      <c r="C55" s="7">
        <v>401</v>
      </c>
      <c r="D55" s="2">
        <v>541</v>
      </c>
      <c r="E55" s="2">
        <v>789</v>
      </c>
      <c r="F55" s="2">
        <v>1082</v>
      </c>
      <c r="G55" s="2">
        <v>6492</v>
      </c>
    </row>
    <row r="56" spans="2:7" ht="12.75">
      <c r="B56" s="2" t="s">
        <v>74</v>
      </c>
      <c r="C56" s="7"/>
      <c r="D56" s="2">
        <v>600</v>
      </c>
      <c r="E56" s="2">
        <v>600</v>
      </c>
      <c r="F56" s="2">
        <v>600</v>
      </c>
      <c r="G56" s="2">
        <v>14237</v>
      </c>
    </row>
    <row r="57" spans="2:7" ht="12.75">
      <c r="B57" s="2" t="s">
        <v>62</v>
      </c>
      <c r="C57" s="7">
        <f>23+275</f>
        <v>298</v>
      </c>
      <c r="D57" s="2">
        <v>1435</v>
      </c>
      <c r="E57" s="2">
        <f>22+276</f>
        <v>298</v>
      </c>
      <c r="F57" s="2">
        <v>1586</v>
      </c>
      <c r="G57" s="2">
        <f>9841+300</f>
        <v>10141</v>
      </c>
    </row>
    <row r="58" spans="2:7" ht="12.75">
      <c r="B58" s="2" t="s">
        <v>63</v>
      </c>
      <c r="C58" s="7">
        <f>96+197</f>
        <v>293</v>
      </c>
      <c r="D58" s="2">
        <f>100+192</f>
        <v>292</v>
      </c>
      <c r="E58" s="2">
        <f>96+392</f>
        <v>488</v>
      </c>
      <c r="F58" s="2">
        <f>200+384</f>
        <v>584</v>
      </c>
      <c r="G58" s="2">
        <f>1200+2304</f>
        <v>3504</v>
      </c>
    </row>
    <row r="59" spans="2:7" ht="12.75">
      <c r="B59" s="2" t="s">
        <v>40</v>
      </c>
      <c r="C59" s="7">
        <f>4215+340</f>
        <v>4555</v>
      </c>
      <c r="D59" s="2">
        <v>3250</v>
      </c>
      <c r="E59" s="2">
        <f>4261+748+5</f>
        <v>5014</v>
      </c>
      <c r="F59" s="2">
        <f>3350+666</f>
        <v>4016</v>
      </c>
      <c r="G59" s="2">
        <f>18010+7992</f>
        <v>26002</v>
      </c>
    </row>
    <row r="60" spans="2:7" s="5" customFormat="1" ht="12.75">
      <c r="B60" s="5" t="s">
        <v>41</v>
      </c>
      <c r="C60" s="7">
        <f>SUM(C38:C59)</f>
        <v>18492</v>
      </c>
      <c r="D60" s="5">
        <f>SUM(D38:D59)</f>
        <v>18982</v>
      </c>
      <c r="E60" s="5">
        <f>SUM(E38:E59)</f>
        <v>28152</v>
      </c>
      <c r="F60" s="5">
        <f>SUM(F38:F59)</f>
        <v>31236</v>
      </c>
      <c r="G60" s="5">
        <f>SUM(G38:G59)</f>
        <v>228990</v>
      </c>
    </row>
    <row r="61" spans="3:7" ht="12.75">
      <c r="C61" s="8">
        <f>C29+C35+C60</f>
        <v>65827</v>
      </c>
      <c r="D61" s="2">
        <f>D29+D35+D60</f>
        <v>62638</v>
      </c>
      <c r="E61" s="2">
        <f>E29+E35+E60</f>
        <v>122976</v>
      </c>
      <c r="F61" s="2">
        <f>F29+F35+F60</f>
        <v>118629</v>
      </c>
      <c r="G61" s="2">
        <f>G29+G35+G60</f>
        <v>782610</v>
      </c>
    </row>
    <row r="64" ht="12.75">
      <c r="B64" s="2" t="s">
        <v>80</v>
      </c>
    </row>
    <row r="65" ht="12.75">
      <c r="B65" s="2" t="s">
        <v>81</v>
      </c>
    </row>
    <row r="66" ht="12.75">
      <c r="B66" s="2" t="s">
        <v>82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0.13671875" style="9" customWidth="1"/>
    <col min="2" max="2" width="38.421875" style="2" customWidth="1"/>
    <col min="3" max="3" width="14.421875" style="2" customWidth="1"/>
    <col min="4" max="4" width="14.140625" style="2" customWidth="1"/>
    <col min="5" max="5" width="13.140625" style="2" customWidth="1"/>
    <col min="6" max="6" width="15.28125" style="2" customWidth="1"/>
    <col min="7" max="7" width="17.421875" style="2" customWidth="1"/>
    <col min="8" max="8" width="12.28125" style="2" bestFit="1" customWidth="1"/>
    <col min="9" max="9" width="11.8515625" style="2" bestFit="1" customWidth="1"/>
    <col min="10" max="10" width="14.00390625" style="2" bestFit="1" customWidth="1"/>
    <col min="11" max="16384" width="9.140625" style="2" customWidth="1"/>
  </cols>
  <sheetData>
    <row r="1" spans="1:7" s="1" customFormat="1" ht="12.75">
      <c r="A1" s="9"/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</row>
    <row r="2" spans="1:7" s="1" customFormat="1" ht="12.75">
      <c r="A2" s="9"/>
      <c r="B2" s="1" t="s">
        <v>104</v>
      </c>
      <c r="C2" s="1" t="s">
        <v>103</v>
      </c>
      <c r="D2" s="1" t="s">
        <v>103</v>
      </c>
      <c r="E2" s="1" t="s">
        <v>105</v>
      </c>
      <c r="F2" s="1" t="s">
        <v>105</v>
      </c>
      <c r="G2" s="1" t="s">
        <v>106</v>
      </c>
    </row>
    <row r="4" spans="2:7" ht="12.75">
      <c r="B4" s="2" t="s">
        <v>0</v>
      </c>
      <c r="C4" s="2">
        <v>163714</v>
      </c>
      <c r="D4" s="2">
        <v>133896</v>
      </c>
      <c r="E4" s="2">
        <v>374454</v>
      </c>
      <c r="F4" s="2">
        <v>342126</v>
      </c>
      <c r="G4" s="2">
        <v>851577</v>
      </c>
    </row>
    <row r="5" spans="1:7" s="3" customFormat="1" ht="12.75">
      <c r="A5" s="10"/>
      <c r="B5" s="3" t="s">
        <v>1</v>
      </c>
      <c r="C5" s="3">
        <v>80563</v>
      </c>
      <c r="D5" s="3">
        <v>71252</v>
      </c>
      <c r="E5" s="2">
        <v>282800</v>
      </c>
      <c r="F5" s="3">
        <v>266741</v>
      </c>
      <c r="G5" s="3">
        <v>793302</v>
      </c>
    </row>
    <row r="6" spans="1:7" s="4" customFormat="1" ht="12.75">
      <c r="A6" s="11"/>
      <c r="B6" s="4" t="s">
        <v>2</v>
      </c>
      <c r="C6" s="4">
        <f>C4-C5</f>
        <v>83151</v>
      </c>
      <c r="D6" s="4">
        <f>D4-D5</f>
        <v>62644</v>
      </c>
      <c r="E6" s="4">
        <f>E4-E5</f>
        <v>91654</v>
      </c>
      <c r="F6" s="4">
        <f>F4-F5</f>
        <v>75385</v>
      </c>
      <c r="G6" s="4">
        <f>G4-G5</f>
        <v>58275</v>
      </c>
    </row>
    <row r="8" spans="2:7" ht="12.75">
      <c r="B8" s="5" t="s">
        <v>8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2:7" ht="12.75">
      <c r="B9" s="2" t="s">
        <v>9</v>
      </c>
      <c r="C9" s="5">
        <v>52995</v>
      </c>
      <c r="D9" s="2">
        <v>54375</v>
      </c>
      <c r="E9" s="2">
        <v>190461</v>
      </c>
      <c r="F9" s="2">
        <v>192075</v>
      </c>
      <c r="G9" s="2">
        <v>545785</v>
      </c>
    </row>
    <row r="10" spans="2:7" ht="12.75">
      <c r="B10" s="2" t="s">
        <v>10</v>
      </c>
      <c r="C10" s="5"/>
      <c r="F10" s="2">
        <v>0</v>
      </c>
      <c r="G10" s="2">
        <v>3094</v>
      </c>
    </row>
    <row r="11" spans="2:7" ht="12.75">
      <c r="B11" s="2" t="s">
        <v>11</v>
      </c>
      <c r="C11" s="5">
        <v>73024</v>
      </c>
      <c r="D11" s="2">
        <v>50000</v>
      </c>
      <c r="E11" s="2">
        <v>73024</v>
      </c>
      <c r="F11" s="2">
        <v>50000</v>
      </c>
      <c r="G11" s="2">
        <v>89200</v>
      </c>
    </row>
    <row r="12" spans="2:7" ht="12.75">
      <c r="B12" s="2" t="s">
        <v>75</v>
      </c>
      <c r="C12" s="5">
        <v>3205</v>
      </c>
      <c r="D12" s="2">
        <v>5600</v>
      </c>
      <c r="E12" s="2">
        <v>16865</v>
      </c>
      <c r="F12" s="2">
        <v>21200</v>
      </c>
      <c r="G12" s="2">
        <v>62400</v>
      </c>
    </row>
    <row r="13" spans="2:7" ht="12.75">
      <c r="B13" s="2" t="s">
        <v>12</v>
      </c>
      <c r="C13" s="5"/>
      <c r="G13" s="2">
        <v>6800</v>
      </c>
    </row>
    <row r="14" spans="2:7" ht="12.75">
      <c r="B14" s="2" t="s">
        <v>100</v>
      </c>
      <c r="C14" s="5">
        <v>1553</v>
      </c>
      <c r="D14" s="2">
        <v>1553</v>
      </c>
      <c r="E14" s="2">
        <v>13786</v>
      </c>
      <c r="F14" s="2">
        <v>13786</v>
      </c>
      <c r="G14" s="2">
        <v>13786</v>
      </c>
    </row>
    <row r="15" spans="2:7" ht="12.75">
      <c r="B15" s="2" t="s">
        <v>13</v>
      </c>
      <c r="C15" s="5">
        <v>6750</v>
      </c>
      <c r="D15" s="2">
        <v>11000</v>
      </c>
      <c r="E15" s="2">
        <v>29700</v>
      </c>
      <c r="F15" s="2">
        <v>35950</v>
      </c>
      <c r="G15" s="2">
        <v>30350</v>
      </c>
    </row>
    <row r="16" spans="2:7" ht="12.75">
      <c r="B16" s="2" t="s">
        <v>14</v>
      </c>
      <c r="C16" s="5">
        <v>0</v>
      </c>
      <c r="D16" s="2">
        <v>425</v>
      </c>
      <c r="E16" s="2">
        <v>3890</v>
      </c>
      <c r="F16" s="2">
        <v>5075</v>
      </c>
      <c r="G16" s="2">
        <v>26575</v>
      </c>
    </row>
    <row r="17" spans="2:7" ht="12.75">
      <c r="B17" s="2" t="s">
        <v>73</v>
      </c>
      <c r="C17" s="5">
        <f>38+155+1480</f>
        <v>1673</v>
      </c>
      <c r="D17" s="2">
        <f>23+1400</f>
        <v>1423</v>
      </c>
      <c r="E17" s="2">
        <f>144+328+1480</f>
        <v>1952</v>
      </c>
      <c r="F17" s="2">
        <f>425+95+1400</f>
        <v>1920</v>
      </c>
      <c r="G17" s="2">
        <f>7350+5450+282+1325</f>
        <v>14407</v>
      </c>
    </row>
    <row r="18" spans="2:7" ht="12.75">
      <c r="B18" s="13" t="s">
        <v>101</v>
      </c>
      <c r="C18" s="5">
        <v>23314</v>
      </c>
      <c r="D18" s="2">
        <v>8320</v>
      </c>
      <c r="E18" s="2">
        <v>36976</v>
      </c>
      <c r="F18" s="2">
        <v>14920</v>
      </c>
      <c r="G18" s="2">
        <v>41380</v>
      </c>
    </row>
    <row r="19" spans="2:7" ht="12.75">
      <c r="B19" s="2" t="s">
        <v>42</v>
      </c>
      <c r="C19" s="5">
        <v>1200</v>
      </c>
      <c r="D19" s="2">
        <v>1200</v>
      </c>
      <c r="E19" s="2">
        <v>7800</v>
      </c>
      <c r="F19" s="2">
        <v>7200</v>
      </c>
      <c r="G19" s="2">
        <v>16800</v>
      </c>
    </row>
    <row r="20" spans="1:7" s="5" customFormat="1" ht="12.75">
      <c r="A20" s="12"/>
      <c r="B20" s="5" t="s">
        <v>15</v>
      </c>
      <c r="C20" s="5">
        <f>SUM(C9:C19)</f>
        <v>163714</v>
      </c>
      <c r="D20" s="5">
        <f>SUM(D9:D19)</f>
        <v>133896</v>
      </c>
      <c r="E20" s="5">
        <f>SUM(E9:E19)</f>
        <v>374454</v>
      </c>
      <c r="F20" s="5">
        <f>SUM(F9:F19)</f>
        <v>342126</v>
      </c>
      <c r="G20" s="5">
        <f>SUM(G9:G19)</f>
        <v>850577</v>
      </c>
    </row>
    <row r="22" ht="12.75">
      <c r="B22" s="5" t="s">
        <v>16</v>
      </c>
    </row>
    <row r="23" spans="2:7" ht="12.75">
      <c r="B23" s="5" t="s">
        <v>17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</row>
    <row r="24" spans="1:7" ht="12.75">
      <c r="A24" s="9">
        <v>6001</v>
      </c>
      <c r="B24" s="2" t="s">
        <v>108</v>
      </c>
      <c r="C24" s="7">
        <v>399</v>
      </c>
      <c r="D24" s="2">
        <v>420</v>
      </c>
      <c r="E24" s="2">
        <v>1724</v>
      </c>
      <c r="F24" s="2">
        <v>1680</v>
      </c>
      <c r="G24" s="2">
        <v>2544</v>
      </c>
    </row>
    <row r="25" spans="1:7" ht="12.75">
      <c r="A25" s="9">
        <v>5101</v>
      </c>
      <c r="B25" s="2" t="s">
        <v>19</v>
      </c>
      <c r="C25" s="7">
        <v>1603</v>
      </c>
      <c r="D25" s="2">
        <v>1782</v>
      </c>
      <c r="E25" s="2">
        <v>7322</v>
      </c>
      <c r="F25" s="2">
        <v>7572</v>
      </c>
      <c r="G25" s="2">
        <v>23160</v>
      </c>
    </row>
    <row r="26" spans="1:7" ht="12.75">
      <c r="A26" s="9">
        <v>5203</v>
      </c>
      <c r="B26" s="2" t="s">
        <v>20</v>
      </c>
      <c r="C26" s="7">
        <v>2940</v>
      </c>
      <c r="D26" s="2">
        <v>2940</v>
      </c>
      <c r="E26" s="2">
        <v>11760</v>
      </c>
      <c r="F26" s="2">
        <v>11760</v>
      </c>
      <c r="G26" s="2">
        <v>35280</v>
      </c>
    </row>
    <row r="27" spans="1:7" ht="12.75">
      <c r="A27" s="9" t="s">
        <v>87</v>
      </c>
      <c r="B27" s="2" t="s">
        <v>21</v>
      </c>
      <c r="C27" s="7">
        <f>759+64+94+40+786+63+971</f>
        <v>2777</v>
      </c>
      <c r="D27" s="2">
        <f>706+64+89+52+786+112+681</f>
        <v>2490</v>
      </c>
      <c r="E27" s="2">
        <f>2902+256+390+196+3144+262+3524</f>
        <v>10674</v>
      </c>
      <c r="F27" s="2">
        <f>2824+256+356+208+3144+448+2724</f>
        <v>9960</v>
      </c>
      <c r="G27" s="2">
        <f>8472+768+1068+624+9432+1344+8172</f>
        <v>29880</v>
      </c>
    </row>
    <row r="28" spans="1:7" ht="12.75">
      <c r="A28" s="9">
        <v>6305</v>
      </c>
      <c r="B28" s="2" t="s">
        <v>85</v>
      </c>
      <c r="C28" s="7">
        <v>2810</v>
      </c>
      <c r="D28" s="2">
        <v>2750</v>
      </c>
      <c r="E28" s="2">
        <v>11240</v>
      </c>
      <c r="F28" s="2">
        <v>11000</v>
      </c>
      <c r="G28" s="2">
        <v>33000</v>
      </c>
    </row>
    <row r="29" spans="1:7" ht="12.75">
      <c r="A29" s="9">
        <v>8465</v>
      </c>
      <c r="B29" s="2" t="s">
        <v>22</v>
      </c>
      <c r="C29" s="7">
        <v>5820</v>
      </c>
      <c r="D29" s="2">
        <f>5820+228</f>
        <v>6048</v>
      </c>
      <c r="E29" s="2">
        <v>23280</v>
      </c>
      <c r="F29" s="2">
        <f>23280+912</f>
        <v>24192</v>
      </c>
      <c r="G29" s="2">
        <f>69840+2736</f>
        <v>72576</v>
      </c>
    </row>
    <row r="30" spans="1:7" s="5" customFormat="1" ht="12.75">
      <c r="A30" s="12"/>
      <c r="B30" s="5" t="s">
        <v>23</v>
      </c>
      <c r="C30" s="5">
        <f>SUM(C24:C29)</f>
        <v>16349</v>
      </c>
      <c r="D30" s="5">
        <f>SUM(D24:D29)</f>
        <v>16430</v>
      </c>
      <c r="E30" s="5">
        <f>SUM(E24:E29)</f>
        <v>66000</v>
      </c>
      <c r="F30" s="5">
        <f>SUM(F24:F29)</f>
        <v>66164</v>
      </c>
      <c r="G30" s="5">
        <f>SUM(G24:G29)</f>
        <v>196440</v>
      </c>
    </row>
    <row r="32" spans="2:7" ht="12.75">
      <c r="B32" s="5" t="s">
        <v>24</v>
      </c>
      <c r="C32" s="6" t="s">
        <v>3</v>
      </c>
      <c r="D32" s="6" t="s">
        <v>4</v>
      </c>
      <c r="E32" s="6" t="s">
        <v>5</v>
      </c>
      <c r="F32" s="6" t="s">
        <v>6</v>
      </c>
      <c r="G32" s="6" t="s">
        <v>7</v>
      </c>
    </row>
    <row r="33" spans="1:7" ht="12.75">
      <c r="A33" s="9">
        <v>5201</v>
      </c>
      <c r="B33" s="2" t="s">
        <v>25</v>
      </c>
      <c r="C33" s="7">
        <v>3925</v>
      </c>
      <c r="D33" s="2">
        <v>4985</v>
      </c>
      <c r="E33" s="2">
        <v>19036</v>
      </c>
      <c r="F33" s="2">
        <v>19940</v>
      </c>
      <c r="G33" s="2">
        <v>59820</v>
      </c>
    </row>
    <row r="34" spans="1:7" ht="12.75">
      <c r="A34" s="9" t="s">
        <v>95</v>
      </c>
      <c r="B34" s="2" t="s">
        <v>26</v>
      </c>
      <c r="C34" s="7">
        <v>0</v>
      </c>
      <c r="D34" s="2">
        <v>500</v>
      </c>
      <c r="E34" s="2">
        <v>800</v>
      </c>
      <c r="F34" s="2">
        <v>2000</v>
      </c>
      <c r="G34" s="2">
        <v>6000</v>
      </c>
    </row>
    <row r="35" spans="1:7" ht="12.75">
      <c r="A35" s="9" t="s">
        <v>88</v>
      </c>
      <c r="B35" s="2" t="s">
        <v>27</v>
      </c>
      <c r="C35" s="7">
        <f>11572+9775+1925</f>
        <v>23272</v>
      </c>
      <c r="D35" s="2">
        <f>13897+6355+1825</f>
        <v>22077</v>
      </c>
      <c r="E35" s="2">
        <f>48889+46418+6914</f>
        <v>102221</v>
      </c>
      <c r="F35" s="2">
        <f>59063+27079+6350</f>
        <v>92492</v>
      </c>
      <c r="G35" s="2">
        <f>180664+82896+27800</f>
        <v>291360</v>
      </c>
    </row>
    <row r="36" spans="1:7" s="5" customFormat="1" ht="12.75">
      <c r="A36" s="12"/>
      <c r="B36" s="5" t="s">
        <v>86</v>
      </c>
      <c r="C36" s="5">
        <f>SUM(C33:C35)</f>
        <v>27197</v>
      </c>
      <c r="D36" s="5">
        <f>SUM(D33:D35)</f>
        <v>27562</v>
      </c>
      <c r="E36" s="5">
        <f>SUM(E33:E35)</f>
        <v>122057</v>
      </c>
      <c r="F36" s="5">
        <f>SUM(F33:F35)</f>
        <v>114432</v>
      </c>
      <c r="G36" s="5">
        <f>SUM(G33:G35)</f>
        <v>357180</v>
      </c>
    </row>
    <row r="38" spans="2:7" ht="12.75">
      <c r="B38" s="5" t="s">
        <v>28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</row>
    <row r="39" spans="1:7" ht="12.75">
      <c r="A39" s="9" t="s">
        <v>96</v>
      </c>
      <c r="B39" s="2" t="s">
        <v>29</v>
      </c>
      <c r="C39" s="7">
        <f>214+2495+4031+890</f>
        <v>7630</v>
      </c>
      <c r="D39" s="2">
        <f>508+2300+732+100+925</f>
        <v>4565</v>
      </c>
      <c r="E39" s="2">
        <f>1929+3215+5616+949+782</f>
        <v>12491</v>
      </c>
      <c r="F39" s="2">
        <f>2032+6200+2928+1400+400+1800</f>
        <v>14760</v>
      </c>
      <c r="G39" s="2">
        <f>6096+24600+8784+4200+1200+5600</f>
        <v>50480</v>
      </c>
    </row>
    <row r="40" spans="2:3" ht="12.75">
      <c r="B40" s="2" t="s">
        <v>30</v>
      </c>
      <c r="C40" s="7"/>
    </row>
    <row r="41" spans="1:9" ht="12.75">
      <c r="A41" s="9">
        <v>6302</v>
      </c>
      <c r="B41" s="2" t="s">
        <v>31</v>
      </c>
      <c r="C41" s="7">
        <v>1751</v>
      </c>
      <c r="D41" s="2">
        <v>2150</v>
      </c>
      <c r="E41" s="2">
        <f>5198-949-782</f>
        <v>3467</v>
      </c>
      <c r="F41" s="2">
        <f>7950-1400-400-1800</f>
        <v>4350</v>
      </c>
      <c r="G41" s="2">
        <f>8000+3550+10000</f>
        <v>21550</v>
      </c>
      <c r="I41" s="2">
        <v>69719</v>
      </c>
    </row>
    <row r="42" spans="1:9" ht="12.75">
      <c r="A42" s="9">
        <v>6303</v>
      </c>
      <c r="B42" s="2" t="s">
        <v>32</v>
      </c>
      <c r="C42" s="7">
        <v>122</v>
      </c>
      <c r="D42" s="2">
        <v>353</v>
      </c>
      <c r="E42" s="2">
        <v>837</v>
      </c>
      <c r="F42" s="2">
        <v>1412</v>
      </c>
      <c r="G42" s="2">
        <v>4236</v>
      </c>
      <c r="I42" s="2">
        <v>-69699</v>
      </c>
    </row>
    <row r="43" spans="1:7" ht="12.75">
      <c r="A43" s="9">
        <v>6301</v>
      </c>
      <c r="B43" s="2" t="s">
        <v>33</v>
      </c>
      <c r="C43" s="7">
        <v>877</v>
      </c>
      <c r="D43" s="2">
        <v>1574</v>
      </c>
      <c r="E43" s="2">
        <v>5290</v>
      </c>
      <c r="F43" s="2">
        <v>6296</v>
      </c>
      <c r="G43" s="2">
        <v>18888</v>
      </c>
    </row>
    <row r="44" spans="1:9" ht="12.75">
      <c r="A44" s="9">
        <v>6203</v>
      </c>
      <c r="B44" s="2" t="s">
        <v>56</v>
      </c>
      <c r="C44" s="7">
        <v>0</v>
      </c>
      <c r="D44" s="2">
        <v>585</v>
      </c>
      <c r="E44" s="2">
        <v>1587</v>
      </c>
      <c r="F44" s="2">
        <v>2340</v>
      </c>
      <c r="G44" s="2">
        <v>7020</v>
      </c>
      <c r="I44" s="2">
        <f>SUM(I41:I43)</f>
        <v>20</v>
      </c>
    </row>
    <row r="45" spans="1:7" ht="12.75">
      <c r="A45" s="9">
        <v>6209</v>
      </c>
      <c r="B45" s="2" t="s">
        <v>57</v>
      </c>
      <c r="C45" s="7">
        <v>750</v>
      </c>
      <c r="D45" s="2">
        <v>788</v>
      </c>
      <c r="E45" s="2">
        <v>2957</v>
      </c>
      <c r="F45" s="2">
        <v>3152</v>
      </c>
      <c r="G45" s="2">
        <v>2364</v>
      </c>
    </row>
    <row r="46" spans="1:7" ht="12.75">
      <c r="A46" s="9">
        <v>6206</v>
      </c>
      <c r="B46" s="2" t="s">
        <v>64</v>
      </c>
      <c r="C46" s="7">
        <v>1538</v>
      </c>
      <c r="D46" s="2">
        <v>630</v>
      </c>
      <c r="E46" s="2">
        <v>2060</v>
      </c>
      <c r="F46" s="2">
        <v>1260</v>
      </c>
      <c r="G46" s="2">
        <v>3780</v>
      </c>
    </row>
    <row r="47" spans="1:7" ht="12.75">
      <c r="A47" s="9">
        <v>6208</v>
      </c>
      <c r="B47" s="2" t="s">
        <v>66</v>
      </c>
      <c r="C47" s="7">
        <v>325</v>
      </c>
      <c r="D47" s="2">
        <v>1307</v>
      </c>
      <c r="E47" s="2">
        <v>2121</v>
      </c>
      <c r="F47" s="2">
        <f>480+748</f>
        <v>1228</v>
      </c>
      <c r="G47" s="2">
        <v>15684</v>
      </c>
    </row>
    <row r="48" spans="1:7" ht="12.75">
      <c r="A48" s="9">
        <v>6601</v>
      </c>
      <c r="B48" s="2" t="s">
        <v>78</v>
      </c>
      <c r="C48" s="7">
        <v>500</v>
      </c>
      <c r="D48" s="2">
        <v>1116</v>
      </c>
      <c r="E48" s="2">
        <v>500</v>
      </c>
      <c r="F48" s="2">
        <v>1116</v>
      </c>
      <c r="G48" s="2">
        <v>5696</v>
      </c>
    </row>
    <row r="49" spans="2:7" ht="12.75">
      <c r="B49" s="2" t="s">
        <v>79</v>
      </c>
      <c r="C49" s="7">
        <v>1553</v>
      </c>
      <c r="D49" s="2">
        <v>1553</v>
      </c>
      <c r="E49" s="2">
        <v>13786</v>
      </c>
      <c r="F49" s="2">
        <v>13786</v>
      </c>
      <c r="G49" s="2">
        <v>13786</v>
      </c>
    </row>
    <row r="50" spans="1:7" ht="12.75">
      <c r="A50" s="9" t="s">
        <v>89</v>
      </c>
      <c r="B50" s="2" t="s">
        <v>34</v>
      </c>
      <c r="C50" s="7">
        <v>117</v>
      </c>
      <c r="D50" s="2">
        <v>250</v>
      </c>
      <c r="E50" s="2">
        <f>151+2207</f>
        <v>2358</v>
      </c>
      <c r="F50" s="2">
        <v>1000</v>
      </c>
      <c r="G50" s="2">
        <v>3000</v>
      </c>
    </row>
    <row r="51" spans="1:7" ht="12.75">
      <c r="A51" s="9" t="s">
        <v>99</v>
      </c>
      <c r="B51" s="2" t="s">
        <v>76</v>
      </c>
      <c r="C51" s="7">
        <f>7+373+282</f>
        <v>662</v>
      </c>
      <c r="D51" s="2">
        <f>20+460+100</f>
        <v>580</v>
      </c>
      <c r="E51" s="2">
        <f>22+1549+1314</f>
        <v>2885</v>
      </c>
      <c r="F51" s="2">
        <f>80+2480+400+160</f>
        <v>3120</v>
      </c>
      <c r="G51" s="2">
        <f>2496+240+7440+480+1200+750</f>
        <v>12606</v>
      </c>
    </row>
    <row r="52" spans="1:7" ht="12.75">
      <c r="A52" s="9" t="s">
        <v>90</v>
      </c>
      <c r="B52" s="2" t="s">
        <v>37</v>
      </c>
      <c r="C52" s="7">
        <v>3642</v>
      </c>
      <c r="D52" s="2">
        <v>517</v>
      </c>
      <c r="E52" s="2">
        <v>4649</v>
      </c>
      <c r="F52" s="2">
        <v>2068</v>
      </c>
      <c r="G52" s="2">
        <v>6204</v>
      </c>
    </row>
    <row r="53" spans="1:7" ht="12.75">
      <c r="A53" s="9" t="s">
        <v>91</v>
      </c>
      <c r="B53" s="2" t="s">
        <v>38</v>
      </c>
      <c r="C53" s="7">
        <f>90</f>
        <v>90</v>
      </c>
      <c r="D53" s="2">
        <f>410+40+200+160</f>
        <v>810</v>
      </c>
      <c r="E53" s="2">
        <f>2100+3824</f>
        <v>5924</v>
      </c>
      <c r="F53" s="2">
        <f>1640+800</f>
        <v>2440</v>
      </c>
      <c r="G53" s="2">
        <f>4920+2400+1100</f>
        <v>8420</v>
      </c>
    </row>
    <row r="54" spans="1:7" ht="12.75">
      <c r="A54" s="9" t="s">
        <v>92</v>
      </c>
      <c r="B54" s="2" t="s">
        <v>77</v>
      </c>
      <c r="C54" s="7">
        <v>0</v>
      </c>
      <c r="D54" s="2">
        <f>200+266</f>
        <v>466</v>
      </c>
      <c r="E54" s="2">
        <f>439+1143</f>
        <v>1582</v>
      </c>
      <c r="F54" s="2">
        <f>800+1064</f>
        <v>1864</v>
      </c>
      <c r="G54" s="2">
        <f>2400+3192</f>
        <v>5592</v>
      </c>
    </row>
    <row r="55" spans="1:7" ht="12.75">
      <c r="A55" s="9">
        <v>6202</v>
      </c>
      <c r="B55" s="2" t="s">
        <v>39</v>
      </c>
      <c r="C55" s="7">
        <v>312</v>
      </c>
      <c r="D55" s="2">
        <v>541</v>
      </c>
      <c r="E55" s="2">
        <v>1884</v>
      </c>
      <c r="F55" s="2">
        <v>2164</v>
      </c>
      <c r="G55" s="2">
        <v>6492</v>
      </c>
    </row>
    <row r="56" spans="1:7" ht="12.75">
      <c r="A56" s="9" t="s">
        <v>93</v>
      </c>
      <c r="B56" s="2" t="s">
        <v>74</v>
      </c>
      <c r="C56" s="7">
        <v>1850</v>
      </c>
      <c r="D56" s="2">
        <v>6900</v>
      </c>
      <c r="E56" s="2">
        <v>4850</v>
      </c>
      <c r="F56" s="2">
        <v>7500</v>
      </c>
      <c r="G56" s="2">
        <v>14237</v>
      </c>
    </row>
    <row r="57" spans="1:7" ht="12.75">
      <c r="A57" s="9" t="s">
        <v>98</v>
      </c>
      <c r="B57" s="2" t="s">
        <v>62</v>
      </c>
      <c r="C57" s="7">
        <f>12931-3642+176</f>
        <v>9465</v>
      </c>
      <c r="D57" s="2">
        <f>1435-517-200</f>
        <v>718</v>
      </c>
      <c r="E57" s="2">
        <f>16535-4649-2100+301</f>
        <v>10087</v>
      </c>
      <c r="F57" s="2">
        <f>5890-2068-800+750</f>
        <v>3772</v>
      </c>
      <c r="G57" s="2">
        <f>9841+300</f>
        <v>10141</v>
      </c>
    </row>
    <row r="58" spans="1:7" ht="12.75">
      <c r="A58" s="9" t="s">
        <v>94</v>
      </c>
      <c r="B58" s="2" t="s">
        <v>63</v>
      </c>
      <c r="C58" s="7">
        <v>196</v>
      </c>
      <c r="D58" s="2">
        <v>192</v>
      </c>
      <c r="E58" s="2">
        <f>96+784+300</f>
        <v>1180</v>
      </c>
      <c r="F58" s="2">
        <f>400+768</f>
        <v>1168</v>
      </c>
      <c r="G58" s="2">
        <f>1200+2304</f>
        <v>3504</v>
      </c>
    </row>
    <row r="59" spans="1:7" ht="12.75">
      <c r="A59" s="9" t="s">
        <v>97</v>
      </c>
      <c r="B59" s="2" t="s">
        <v>40</v>
      </c>
      <c r="C59" s="7">
        <f>4984+653</f>
        <v>5637</v>
      </c>
      <c r="D59" s="2">
        <f>686+999-20</f>
        <v>1665</v>
      </c>
      <c r="E59" s="2">
        <f>12098+2155-5</f>
        <v>14248</v>
      </c>
      <c r="F59" s="2">
        <f>4682+2664+4000+3</f>
        <v>11349</v>
      </c>
      <c r="G59" s="2">
        <f>18010+7992</f>
        <v>26002</v>
      </c>
    </row>
    <row r="60" spans="1:7" s="5" customFormat="1" ht="12.75">
      <c r="A60" s="12"/>
      <c r="B60" s="5" t="s">
        <v>41</v>
      </c>
      <c r="C60" s="7">
        <f>SUM(C39:C59)</f>
        <v>37017</v>
      </c>
      <c r="D60" s="5">
        <f>SUM(D39:D59)</f>
        <v>27260</v>
      </c>
      <c r="E60" s="5">
        <f>SUM(E39:E59)</f>
        <v>94743</v>
      </c>
      <c r="F60" s="5">
        <f>SUM(F39:F59)</f>
        <v>86145</v>
      </c>
      <c r="G60" s="5">
        <f>SUM(G39:G59)</f>
        <v>239682</v>
      </c>
    </row>
    <row r="61" spans="3:7" ht="12.75">
      <c r="C61" s="8">
        <f>C30+C36+C60</f>
        <v>80563</v>
      </c>
      <c r="D61" s="2">
        <f>D30+D36+D60</f>
        <v>71252</v>
      </c>
      <c r="E61" s="2">
        <f>E30+E36+E60</f>
        <v>282800</v>
      </c>
      <c r="F61" s="2">
        <f>F30+F36+F60</f>
        <v>266741</v>
      </c>
      <c r="G61" s="2">
        <f>G30+G36+G60</f>
        <v>793302</v>
      </c>
    </row>
    <row r="64" ht="12.75">
      <c r="B64" s="2" t="s">
        <v>102</v>
      </c>
    </row>
    <row r="65" ht="12.75">
      <c r="B65" s="2" t="s">
        <v>81</v>
      </c>
    </row>
    <row r="66" ht="12.75">
      <c r="B66" s="2" t="s">
        <v>107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"/>
  <sheetViews>
    <sheetView workbookViewId="0" topLeftCell="A1">
      <selection activeCell="H48" sqref="H48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9.140625" style="2" customWidth="1"/>
    <col min="4" max="4" width="11.28125" style="2" bestFit="1" customWidth="1"/>
    <col min="5" max="5" width="11.57421875" style="2" customWidth="1"/>
    <col min="6" max="6" width="9.140625" style="2" customWidth="1"/>
    <col min="7" max="8" width="11.28125" style="2" bestFit="1" customWidth="1"/>
    <col min="9" max="10" width="9.140625" style="2" customWidth="1"/>
    <col min="11" max="11" width="12.28125" style="2" bestFit="1" customWidth="1"/>
    <col min="12" max="16384" width="9.140625" style="2" customWidth="1"/>
  </cols>
  <sheetData>
    <row r="1" spans="4:11" ht="12.75">
      <c r="D1" s="2" t="s">
        <v>70</v>
      </c>
      <c r="G1" s="2" t="s">
        <v>70</v>
      </c>
      <c r="H1" s="2" t="s">
        <v>71</v>
      </c>
      <c r="J1" s="2" t="s">
        <v>72</v>
      </c>
      <c r="K1" s="2" t="s">
        <v>71</v>
      </c>
    </row>
    <row r="3" spans="2:8" ht="12.75">
      <c r="B3" s="5" t="s">
        <v>21</v>
      </c>
      <c r="D3" s="2" t="s">
        <v>50</v>
      </c>
      <c r="E3" s="2" t="s">
        <v>51</v>
      </c>
      <c r="G3" s="2" t="s">
        <v>50</v>
      </c>
      <c r="H3" s="2" t="s">
        <v>51</v>
      </c>
    </row>
    <row r="5" spans="2:11" ht="12.75">
      <c r="B5" s="2" t="s">
        <v>43</v>
      </c>
      <c r="D5" s="2">
        <v>720</v>
      </c>
      <c r="E5" s="2">
        <v>569</v>
      </c>
      <c r="G5" s="2">
        <v>1414</v>
      </c>
      <c r="H5" s="2">
        <v>1275</v>
      </c>
      <c r="K5" s="2">
        <v>8472</v>
      </c>
    </row>
    <row r="6" spans="2:11" ht="12.75">
      <c r="B6" s="2" t="s">
        <v>44</v>
      </c>
      <c r="D6" s="2">
        <v>64</v>
      </c>
      <c r="E6" s="2">
        <v>52</v>
      </c>
      <c r="G6" s="2">
        <v>128</v>
      </c>
      <c r="H6" s="2">
        <v>116</v>
      </c>
      <c r="K6" s="2">
        <v>768</v>
      </c>
    </row>
    <row r="7" spans="2:11" ht="12.75">
      <c r="B7" s="2" t="s">
        <v>45</v>
      </c>
      <c r="D7" s="2">
        <v>101</v>
      </c>
      <c r="E7" s="2">
        <v>72</v>
      </c>
      <c r="G7" s="2">
        <v>201</v>
      </c>
      <c r="H7" s="2">
        <v>161</v>
      </c>
      <c r="K7" s="2">
        <v>1068</v>
      </c>
    </row>
    <row r="8" spans="2:11" ht="12.75">
      <c r="B8" s="2" t="s">
        <v>46</v>
      </c>
      <c r="D8" s="2">
        <v>53</v>
      </c>
      <c r="E8" s="2">
        <v>42</v>
      </c>
      <c r="G8" s="2">
        <v>106.62</v>
      </c>
      <c r="H8" s="2">
        <v>93.94</v>
      </c>
      <c r="K8" s="2">
        <v>624</v>
      </c>
    </row>
    <row r="9" spans="2:11" ht="12.75">
      <c r="B9" s="2" t="s">
        <v>47</v>
      </c>
      <c r="D9" s="2">
        <v>786</v>
      </c>
      <c r="E9" s="2">
        <v>634</v>
      </c>
      <c r="G9" s="2">
        <v>1572</v>
      </c>
      <c r="H9" s="2">
        <v>1419</v>
      </c>
      <c r="K9" s="2">
        <v>9432</v>
      </c>
    </row>
    <row r="10" spans="2:8" ht="12.75">
      <c r="B10" s="2" t="s">
        <v>48</v>
      </c>
      <c r="D10" s="2">
        <v>68</v>
      </c>
      <c r="G10" s="2">
        <v>136.58</v>
      </c>
      <c r="H10" s="2">
        <v>0</v>
      </c>
    </row>
    <row r="11" spans="2:7" ht="12.75">
      <c r="B11" s="2" t="s">
        <v>49</v>
      </c>
      <c r="D11" s="2">
        <v>416</v>
      </c>
      <c r="G11" s="2">
        <v>1084</v>
      </c>
    </row>
    <row r="12" spans="2:11" ht="12.75">
      <c r="B12" s="2" t="s">
        <v>52</v>
      </c>
      <c r="D12" s="2">
        <f>SUM(D5:D11)</f>
        <v>2208</v>
      </c>
      <c r="E12" s="2">
        <f>SUM(E5:E11)</f>
        <v>1369</v>
      </c>
      <c r="G12" s="2">
        <f>SUM(G5:G11)</f>
        <v>4642.2</v>
      </c>
      <c r="H12" s="2">
        <f>SUM(H5:H11)</f>
        <v>3064.94</v>
      </c>
      <c r="K12" s="2">
        <f>SUM(K5:K11)</f>
        <v>20364</v>
      </c>
    </row>
    <row r="14" ht="12.75">
      <c r="B14" s="5" t="s">
        <v>53</v>
      </c>
    </row>
    <row r="15" spans="2:11" ht="12.75">
      <c r="B15" s="2" t="s">
        <v>54</v>
      </c>
      <c r="D15" s="2">
        <v>8598</v>
      </c>
      <c r="E15" s="2">
        <v>11207</v>
      </c>
      <c r="G15" s="2">
        <v>20062</v>
      </c>
      <c r="H15" s="2">
        <v>25104</v>
      </c>
      <c r="K15" s="2">
        <v>180664</v>
      </c>
    </row>
    <row r="16" spans="2:11" ht="12.75">
      <c r="B16" s="2" t="s">
        <v>55</v>
      </c>
      <c r="D16" s="2">
        <v>10351</v>
      </c>
      <c r="E16" s="2">
        <v>7566</v>
      </c>
      <c r="G16" s="2">
        <v>21963</v>
      </c>
      <c r="H16" s="2">
        <v>16948</v>
      </c>
      <c r="K16" s="2">
        <v>121964</v>
      </c>
    </row>
    <row r="17" spans="2:11" ht="12.75">
      <c r="B17" s="2" t="s">
        <v>67</v>
      </c>
      <c r="D17" s="2">
        <v>1825</v>
      </c>
      <c r="E17" s="2">
        <v>1552</v>
      </c>
      <c r="G17" s="2">
        <v>3395</v>
      </c>
      <c r="H17" s="2">
        <v>3102</v>
      </c>
      <c r="K17" s="2">
        <v>27800</v>
      </c>
    </row>
    <row r="18" spans="4:11" ht="12.75">
      <c r="D18" s="2">
        <f aca="true" t="shared" si="0" ref="D18:I18">SUM(D15:D17)</f>
        <v>20774</v>
      </c>
      <c r="E18" s="2">
        <f t="shared" si="0"/>
        <v>20325</v>
      </c>
      <c r="F18" s="2">
        <f t="shared" si="0"/>
        <v>0</v>
      </c>
      <c r="G18" s="2">
        <f t="shared" si="0"/>
        <v>45420</v>
      </c>
      <c r="H18" s="2">
        <f t="shared" si="0"/>
        <v>45154</v>
      </c>
      <c r="I18" s="2">
        <f t="shared" si="0"/>
        <v>0</v>
      </c>
      <c r="K18" s="2">
        <f>SUM(K15:K17)</f>
        <v>330428</v>
      </c>
    </row>
    <row r="20" ht="12.75">
      <c r="B20" s="5" t="s">
        <v>58</v>
      </c>
    </row>
    <row r="21" spans="2:11" ht="12.75">
      <c r="B21" s="2" t="s">
        <v>59</v>
      </c>
      <c r="D21" s="2">
        <v>2.55</v>
      </c>
      <c r="E21" s="2">
        <v>342.74</v>
      </c>
      <c r="G21" s="2">
        <v>404</v>
      </c>
      <c r="H21" s="2">
        <v>768</v>
      </c>
      <c r="K21" s="2">
        <v>5100</v>
      </c>
    </row>
    <row r="22" spans="2:11" ht="12.75">
      <c r="B22" s="2" t="s">
        <v>60</v>
      </c>
      <c r="D22" s="2">
        <v>0</v>
      </c>
      <c r="E22" s="2">
        <v>645</v>
      </c>
      <c r="G22" s="2">
        <v>0</v>
      </c>
      <c r="H22" s="2">
        <v>1445</v>
      </c>
      <c r="K22" s="2">
        <v>24600</v>
      </c>
    </row>
    <row r="23" spans="2:11" ht="12.75">
      <c r="B23" s="2" t="s">
        <v>61</v>
      </c>
      <c r="D23" s="2">
        <v>1195.12</v>
      </c>
      <c r="E23" s="2">
        <v>590</v>
      </c>
      <c r="G23" s="2">
        <v>1409</v>
      </c>
      <c r="H23" s="2">
        <v>1322</v>
      </c>
      <c r="K23" s="2">
        <v>8784</v>
      </c>
    </row>
    <row r="25" spans="4:11" ht="12.75">
      <c r="D25" s="2">
        <f>SUM(D21:D24)</f>
        <v>1197.6699999999998</v>
      </c>
      <c r="E25" s="2">
        <f>SUM(E21:E24)</f>
        <v>1577.74</v>
      </c>
      <c r="G25" s="2">
        <f>SUM(G21:G24)</f>
        <v>1813</v>
      </c>
      <c r="H25" s="2">
        <f>SUM(H21:H24)</f>
        <v>3535</v>
      </c>
      <c r="K25" s="2">
        <f>SUM(K21:K24)</f>
        <v>38484</v>
      </c>
    </row>
    <row r="27" ht="12.75">
      <c r="B27" s="5" t="s">
        <v>36</v>
      </c>
    </row>
    <row r="28" spans="2:11" ht="12.75">
      <c r="B28" s="2" t="s">
        <v>36</v>
      </c>
      <c r="D28" s="2">
        <v>313</v>
      </c>
      <c r="E28" s="2">
        <v>419</v>
      </c>
      <c r="G28" s="2">
        <v>528</v>
      </c>
      <c r="H28" s="2">
        <v>939</v>
      </c>
      <c r="K28" s="2">
        <v>6240</v>
      </c>
    </row>
    <row r="29" spans="2:11" ht="12.75">
      <c r="B29" s="2" t="s">
        <v>65</v>
      </c>
      <c r="E29" s="2">
        <v>81</v>
      </c>
      <c r="G29" s="2">
        <v>94</v>
      </c>
      <c r="H29" s="2">
        <v>181</v>
      </c>
      <c r="K29" s="2">
        <v>1200</v>
      </c>
    </row>
    <row r="30" spans="2:11" ht="12.75">
      <c r="B30" s="2" t="s">
        <v>68</v>
      </c>
      <c r="E30" s="2">
        <v>32</v>
      </c>
      <c r="G30" s="2">
        <v>0</v>
      </c>
      <c r="H30" s="2">
        <v>72</v>
      </c>
      <c r="K30" s="2">
        <v>480</v>
      </c>
    </row>
    <row r="31" spans="2:11" ht="12.75">
      <c r="B31" s="2" t="s">
        <v>69</v>
      </c>
      <c r="E31" s="2">
        <v>17</v>
      </c>
      <c r="G31" s="2">
        <v>0</v>
      </c>
      <c r="H31" s="2">
        <v>36</v>
      </c>
      <c r="K31" s="2">
        <v>230</v>
      </c>
    </row>
    <row r="33" spans="4:11" ht="12.75">
      <c r="D33" s="2">
        <f>SUM(D28:D32)</f>
        <v>313</v>
      </c>
      <c r="E33" s="2">
        <f>SUM(E28:E32)</f>
        <v>549</v>
      </c>
      <c r="G33" s="2">
        <f>SUM(G28:G32)</f>
        <v>622</v>
      </c>
      <c r="H33" s="2">
        <f>SUM(H28:H32)</f>
        <v>1228</v>
      </c>
      <c r="K33" s="2">
        <f>SUM(K28:K32)</f>
        <v>8150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:IV16384"/>
    </sheetView>
  </sheetViews>
  <sheetFormatPr defaultColWidth="9.140625" defaultRowHeight="12.75"/>
  <cols>
    <col min="1" max="1" width="20.140625" style="9" customWidth="1"/>
    <col min="2" max="2" width="38.421875" style="2" customWidth="1"/>
    <col min="3" max="3" width="11.7109375" style="2" customWidth="1"/>
    <col min="4" max="4" width="11.8515625" style="2" customWidth="1"/>
    <col min="5" max="5" width="13.140625" style="2" customWidth="1"/>
    <col min="6" max="6" width="15.28125" style="2" customWidth="1"/>
    <col min="7" max="7" width="17.421875" style="2" customWidth="1"/>
    <col min="8" max="8" width="12.28125" style="2" bestFit="1" customWidth="1"/>
    <col min="9" max="9" width="9.140625" style="2" customWidth="1"/>
    <col min="10" max="10" width="14.00390625" style="2" bestFit="1" customWidth="1"/>
    <col min="11" max="16384" width="9.140625" style="2" customWidth="1"/>
  </cols>
  <sheetData>
    <row r="1" spans="1:7" s="1" customFormat="1" ht="12.75">
      <c r="A1" s="9"/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</row>
    <row r="2" ht="12.75">
      <c r="B2" s="2" t="s">
        <v>83</v>
      </c>
    </row>
    <row r="4" spans="2:7" ht="12.75">
      <c r="B4" s="2" t="s">
        <v>0</v>
      </c>
      <c r="C4" s="2">
        <v>85528</v>
      </c>
      <c r="D4" s="2">
        <v>82523</v>
      </c>
      <c r="E4" s="2">
        <v>215686</v>
      </c>
      <c r="F4" s="2">
        <v>208330</v>
      </c>
      <c r="G4" s="2">
        <v>849024</v>
      </c>
    </row>
    <row r="5" spans="1:7" s="3" customFormat="1" ht="12.75">
      <c r="A5" s="10"/>
      <c r="B5" s="3" t="s">
        <v>1</v>
      </c>
      <c r="C5" s="3">
        <v>71744</v>
      </c>
      <c r="D5" s="3">
        <v>67844</v>
      </c>
      <c r="E5" s="3">
        <v>202549</v>
      </c>
      <c r="F5" s="3">
        <v>194995</v>
      </c>
      <c r="G5" s="3">
        <v>791749</v>
      </c>
    </row>
    <row r="6" spans="1:7" s="4" customFormat="1" ht="12.75">
      <c r="A6" s="11"/>
      <c r="B6" s="4" t="s">
        <v>2</v>
      </c>
      <c r="C6" s="4">
        <f>C4-C5</f>
        <v>13784</v>
      </c>
      <c r="D6" s="4">
        <f>D4-D5</f>
        <v>14679</v>
      </c>
      <c r="E6" s="4">
        <f>E4-E5</f>
        <v>13137</v>
      </c>
      <c r="F6" s="4">
        <f>F4-F5</f>
        <v>13335</v>
      </c>
      <c r="G6" s="4">
        <f>G4-G5</f>
        <v>57275</v>
      </c>
    </row>
    <row r="8" spans="2:7" ht="12.75">
      <c r="B8" s="5" t="s">
        <v>8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2:7" ht="12.75">
      <c r="B9" s="2" t="s">
        <v>9</v>
      </c>
      <c r="C9" s="5">
        <v>47028</v>
      </c>
      <c r="D9" s="2">
        <v>43500</v>
      </c>
      <c r="E9" s="2">
        <v>137351</v>
      </c>
      <c r="F9" s="2">
        <v>137700</v>
      </c>
      <c r="G9" s="2">
        <v>545785</v>
      </c>
    </row>
    <row r="10" spans="2:7" ht="12.75">
      <c r="B10" s="2" t="s">
        <v>10</v>
      </c>
      <c r="C10" s="5"/>
      <c r="F10" s="2">
        <v>0</v>
      </c>
      <c r="G10" s="2">
        <v>3094</v>
      </c>
    </row>
    <row r="11" spans="2:7" ht="12.75">
      <c r="B11" s="2" t="s">
        <v>11</v>
      </c>
      <c r="C11" s="5"/>
      <c r="G11" s="2">
        <v>89200</v>
      </c>
    </row>
    <row r="12" spans="2:7" ht="12.75">
      <c r="B12" s="2" t="s">
        <v>75</v>
      </c>
      <c r="C12" s="5">
        <v>4990</v>
      </c>
      <c r="D12" s="2">
        <v>7000</v>
      </c>
      <c r="E12" s="2">
        <v>13660</v>
      </c>
      <c r="F12" s="2">
        <v>16025</v>
      </c>
      <c r="G12" s="2">
        <v>62400</v>
      </c>
    </row>
    <row r="13" spans="2:7" ht="12.75">
      <c r="B13" s="2" t="s">
        <v>12</v>
      </c>
      <c r="C13" s="5"/>
      <c r="G13" s="2">
        <v>6800</v>
      </c>
    </row>
    <row r="14" spans="2:7" ht="12.75">
      <c r="B14" s="2" t="s">
        <v>100</v>
      </c>
      <c r="C14" s="5">
        <v>1899</v>
      </c>
      <c r="D14" s="2">
        <v>1899</v>
      </c>
      <c r="E14" s="2">
        <v>12233</v>
      </c>
      <c r="F14" s="2">
        <v>12333</v>
      </c>
      <c r="G14" s="2">
        <v>12233</v>
      </c>
    </row>
    <row r="15" spans="2:7" ht="12.75">
      <c r="B15" s="2" t="s">
        <v>13</v>
      </c>
      <c r="C15" s="5">
        <v>21675</v>
      </c>
      <c r="D15" s="2">
        <v>20750</v>
      </c>
      <c r="E15" s="2">
        <v>28300</v>
      </c>
      <c r="F15" s="2">
        <v>24950</v>
      </c>
      <c r="G15" s="2">
        <v>30350</v>
      </c>
    </row>
    <row r="16" spans="2:7" ht="12.75">
      <c r="B16" s="2" t="s">
        <v>14</v>
      </c>
      <c r="C16" s="5">
        <v>1400</v>
      </c>
      <c r="D16" s="2">
        <f>2400+425</f>
        <v>2825</v>
      </c>
      <c r="E16" s="2">
        <v>3480</v>
      </c>
      <c r="F16" s="2">
        <v>4650</v>
      </c>
      <c r="G16" s="2">
        <v>26575</v>
      </c>
    </row>
    <row r="17" spans="2:7" ht="12.75">
      <c r="B17" s="2" t="s">
        <v>73</v>
      </c>
      <c r="C17" s="5">
        <f>7+174</f>
        <v>181</v>
      </c>
      <c r="D17" s="2">
        <v>24</v>
      </c>
      <c r="E17" s="2">
        <f>26+173</f>
        <v>199</v>
      </c>
      <c r="F17" s="2">
        <f>72</f>
        <v>72</v>
      </c>
      <c r="G17" s="2">
        <f>7350+5450+282+1325</f>
        <v>14407</v>
      </c>
    </row>
    <row r="18" spans="2:7" ht="12.75">
      <c r="B18" s="13" t="s">
        <v>101</v>
      </c>
      <c r="C18" s="5">
        <v>6355</v>
      </c>
      <c r="D18" s="2">
        <v>4525</v>
      </c>
      <c r="E18" s="2">
        <v>13863</v>
      </c>
      <c r="F18" s="2">
        <v>6600</v>
      </c>
      <c r="G18" s="2">
        <v>41380</v>
      </c>
    </row>
    <row r="19" spans="2:7" ht="12.75">
      <c r="B19" s="2" t="s">
        <v>42</v>
      </c>
      <c r="C19" s="5">
        <v>2000</v>
      </c>
      <c r="D19" s="2">
        <v>2000</v>
      </c>
      <c r="E19" s="2">
        <v>6600</v>
      </c>
      <c r="F19" s="2">
        <v>6000</v>
      </c>
      <c r="G19" s="2">
        <v>16800</v>
      </c>
    </row>
    <row r="20" spans="1:7" s="5" customFormat="1" ht="12.75">
      <c r="A20" s="12"/>
      <c r="B20" s="5" t="s">
        <v>15</v>
      </c>
      <c r="C20" s="5">
        <f>SUM(C9:C19)</f>
        <v>85528</v>
      </c>
      <c r="D20" s="5">
        <f>SUM(D9:D19)</f>
        <v>82523</v>
      </c>
      <c r="E20" s="5">
        <f>SUM(E9:E19)</f>
        <v>215686</v>
      </c>
      <c r="F20" s="5">
        <f>SUM(F9:F19)</f>
        <v>208330</v>
      </c>
      <c r="G20" s="5">
        <f>SUM(G9:G19)</f>
        <v>849024</v>
      </c>
    </row>
    <row r="22" ht="12.75">
      <c r="B22" s="5" t="s">
        <v>16</v>
      </c>
    </row>
    <row r="23" spans="2:7" ht="12.75">
      <c r="B23" s="5" t="s">
        <v>17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</row>
    <row r="24" spans="1:7" ht="12.75">
      <c r="A24" s="9">
        <v>6001</v>
      </c>
      <c r="B24" s="2" t="s">
        <v>18</v>
      </c>
      <c r="C24" s="7">
        <v>411</v>
      </c>
      <c r="D24" s="2">
        <v>420</v>
      </c>
      <c r="E24" s="2">
        <v>1316</v>
      </c>
      <c r="F24" s="2">
        <v>1260</v>
      </c>
      <c r="G24" s="2">
        <v>2544</v>
      </c>
    </row>
    <row r="25" spans="1:7" ht="12.75">
      <c r="A25" s="9">
        <v>5101</v>
      </c>
      <c r="B25" s="2" t="s">
        <v>19</v>
      </c>
      <c r="C25" s="7">
        <v>2021</v>
      </c>
      <c r="D25" s="2">
        <v>2226</v>
      </c>
      <c r="E25" s="2">
        <v>5718</v>
      </c>
      <c r="F25" s="2">
        <v>5790</v>
      </c>
      <c r="G25" s="2">
        <v>23160</v>
      </c>
    </row>
    <row r="26" spans="1:7" ht="12.75">
      <c r="A26" s="9">
        <v>5203</v>
      </c>
      <c r="B26" s="2" t="s">
        <v>20</v>
      </c>
      <c r="C26" s="7">
        <v>2940</v>
      </c>
      <c r="D26" s="2">
        <v>2940</v>
      </c>
      <c r="E26" s="2">
        <v>8820</v>
      </c>
      <c r="F26" s="2">
        <v>8820</v>
      </c>
      <c r="G26" s="2">
        <v>35280</v>
      </c>
    </row>
    <row r="27" spans="1:7" ht="12.75">
      <c r="A27" s="9" t="s">
        <v>87</v>
      </c>
      <c r="B27" s="2" t="s">
        <v>21</v>
      </c>
      <c r="C27" s="7">
        <f>703+64+94+48+786+63+1029</f>
        <v>2787</v>
      </c>
      <c r="D27" s="2">
        <f>706+64+89+52+786+681+112</f>
        <v>2490</v>
      </c>
      <c r="E27" s="2">
        <f>2144+192+296+156+2358+200+2742</f>
        <v>8088</v>
      </c>
      <c r="F27" s="2">
        <f>2118+192+267+156+2358+336+2043</f>
        <v>7470</v>
      </c>
      <c r="G27" s="2">
        <f>8472+768+1068+624+9432+1344+8172</f>
        <v>29880</v>
      </c>
    </row>
    <row r="28" spans="1:7" ht="12.75">
      <c r="A28" s="9">
        <v>6305</v>
      </c>
      <c r="B28" s="2" t="s">
        <v>85</v>
      </c>
      <c r="C28" s="7">
        <v>2810</v>
      </c>
      <c r="D28" s="2">
        <v>2750</v>
      </c>
      <c r="E28" s="2">
        <v>8430</v>
      </c>
      <c r="F28" s="2">
        <v>8250</v>
      </c>
      <c r="G28" s="2">
        <v>33000</v>
      </c>
    </row>
    <row r="29" spans="1:7" ht="12.75">
      <c r="A29" s="9">
        <v>8465</v>
      </c>
      <c r="B29" s="2" t="s">
        <v>22</v>
      </c>
      <c r="C29" s="7">
        <v>5820</v>
      </c>
      <c r="D29" s="2">
        <f>5820+228</f>
        <v>6048</v>
      </c>
      <c r="E29" s="2">
        <v>17460</v>
      </c>
      <c r="F29" s="2">
        <f>17460+684</f>
        <v>18144</v>
      </c>
      <c r="G29" s="2">
        <f>69840+2736</f>
        <v>72576</v>
      </c>
    </row>
    <row r="30" spans="1:7" s="5" customFormat="1" ht="12.75">
      <c r="A30" s="12"/>
      <c r="B30" s="5" t="s">
        <v>23</v>
      </c>
      <c r="C30" s="5">
        <f>SUM(C24:C29)</f>
        <v>16789</v>
      </c>
      <c r="D30" s="5">
        <f>SUM(D24:D29)</f>
        <v>16874</v>
      </c>
      <c r="E30" s="5">
        <f>SUM(E24:E29)</f>
        <v>49832</v>
      </c>
      <c r="F30" s="5">
        <f>SUM(F24:F29)</f>
        <v>49734</v>
      </c>
      <c r="G30" s="5">
        <f>SUM(G24:G29)</f>
        <v>196440</v>
      </c>
    </row>
    <row r="32" spans="2:7" ht="12.75">
      <c r="B32" s="5" t="s">
        <v>24</v>
      </c>
      <c r="C32" s="6" t="s">
        <v>3</v>
      </c>
      <c r="D32" s="6" t="s">
        <v>4</v>
      </c>
      <c r="E32" s="6" t="s">
        <v>5</v>
      </c>
      <c r="F32" s="6" t="s">
        <v>6</v>
      </c>
      <c r="G32" s="6" t="s">
        <v>7</v>
      </c>
    </row>
    <row r="33" spans="1:7" ht="12.75">
      <c r="A33" s="9">
        <v>5201</v>
      </c>
      <c r="B33" s="2" t="s">
        <v>25</v>
      </c>
      <c r="C33" s="7">
        <v>3925</v>
      </c>
      <c r="D33" s="2">
        <v>4985</v>
      </c>
      <c r="E33" s="2">
        <v>15257</v>
      </c>
      <c r="F33" s="2">
        <v>14955</v>
      </c>
      <c r="G33" s="2">
        <v>59820</v>
      </c>
    </row>
    <row r="34" spans="1:7" ht="12.75">
      <c r="A34" s="9" t="s">
        <v>95</v>
      </c>
      <c r="B34" s="2" t="s">
        <v>26</v>
      </c>
      <c r="C34" s="7">
        <v>0</v>
      </c>
      <c r="D34" s="2">
        <v>500</v>
      </c>
      <c r="E34" s="2">
        <f>800+300</f>
        <v>1100</v>
      </c>
      <c r="F34" s="2">
        <f>1500+750</f>
        <v>2250</v>
      </c>
      <c r="G34" s="2">
        <v>6000</v>
      </c>
    </row>
    <row r="35" spans="1:7" ht="12.75">
      <c r="A35" s="9" t="s">
        <v>88</v>
      </c>
      <c r="B35" s="2" t="s">
        <v>27</v>
      </c>
      <c r="C35" s="7">
        <f>14330+12219+1694</f>
        <v>28243</v>
      </c>
      <c r="D35" s="2">
        <f>17372+8014+1050</f>
        <v>26436</v>
      </c>
      <c r="E35" s="2">
        <f>37317+36643+4989</f>
        <v>78949</v>
      </c>
      <c r="F35" s="2">
        <f>45166+20724+4525</f>
        <v>70415</v>
      </c>
      <c r="G35" s="2">
        <f>180664+82896+27800</f>
        <v>291360</v>
      </c>
    </row>
    <row r="36" spans="1:7" s="5" customFormat="1" ht="12.75">
      <c r="A36" s="12"/>
      <c r="B36" s="5" t="s">
        <v>86</v>
      </c>
      <c r="C36" s="5">
        <f>SUM(C33:C35)</f>
        <v>32168</v>
      </c>
      <c r="D36" s="5">
        <f>SUM(D33:D35)</f>
        <v>31921</v>
      </c>
      <c r="E36" s="5">
        <f>SUM(E33:E35)</f>
        <v>95306</v>
      </c>
      <c r="F36" s="5">
        <f>SUM(F33:F35)</f>
        <v>87620</v>
      </c>
      <c r="G36" s="5">
        <f>SUM(G33:G35)</f>
        <v>357180</v>
      </c>
    </row>
    <row r="38" spans="2:7" ht="12.75">
      <c r="B38" s="5" t="s">
        <v>28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</row>
    <row r="39" spans="1:7" ht="12.75">
      <c r="A39" s="9" t="s">
        <v>96</v>
      </c>
      <c r="B39" s="2" t="s">
        <v>29</v>
      </c>
      <c r="C39" s="7">
        <f>1301+176+841</f>
        <v>2318</v>
      </c>
      <c r="D39" s="2">
        <f>508+2300+732+350+100+475</f>
        <v>4465</v>
      </c>
      <c r="E39" s="2">
        <f>1715+720+1585+59+782</f>
        <v>4861</v>
      </c>
      <c r="F39" s="2">
        <f>1524+3900+2196+1050+300+1325</f>
        <v>10295</v>
      </c>
      <c r="G39" s="2">
        <f>6096+24600+8784+4200+1200+5600</f>
        <v>50480</v>
      </c>
    </row>
    <row r="40" spans="2:3" ht="12.75">
      <c r="B40" s="2" t="s">
        <v>30</v>
      </c>
      <c r="C40" s="7"/>
    </row>
    <row r="41" spans="1:7" ht="12.75">
      <c r="A41" s="9">
        <v>6302</v>
      </c>
      <c r="B41" s="2" t="s">
        <v>31</v>
      </c>
      <c r="C41" s="7">
        <v>40</v>
      </c>
      <c r="D41" s="2">
        <f>800+400+1000</f>
        <v>2200</v>
      </c>
      <c r="E41" s="2">
        <f>120+1596</f>
        <v>1716</v>
      </c>
      <c r="F41" s="2">
        <f>800+400+1000</f>
        <v>2200</v>
      </c>
      <c r="G41" s="2">
        <f>8000+3550+10000</f>
        <v>21550</v>
      </c>
    </row>
    <row r="42" spans="1:7" ht="12.75">
      <c r="A42" s="9">
        <v>6303</v>
      </c>
      <c r="B42" s="2" t="s">
        <v>32</v>
      </c>
      <c r="C42" s="7">
        <v>508</v>
      </c>
      <c r="D42" s="2">
        <v>353</v>
      </c>
      <c r="E42" s="2">
        <v>716</v>
      </c>
      <c r="F42" s="2">
        <v>1059</v>
      </c>
      <c r="G42" s="2">
        <v>4236</v>
      </c>
    </row>
    <row r="43" spans="1:7" ht="12.75">
      <c r="A43" s="9">
        <v>6301</v>
      </c>
      <c r="B43" s="2" t="s">
        <v>33</v>
      </c>
      <c r="C43" s="7">
        <f>899</f>
        <v>899</v>
      </c>
      <c r="D43" s="2">
        <v>1574</v>
      </c>
      <c r="E43" s="2">
        <v>4413</v>
      </c>
      <c r="F43" s="2">
        <v>4722</v>
      </c>
      <c r="G43" s="2">
        <v>18888</v>
      </c>
    </row>
    <row r="44" spans="1:7" ht="12.75">
      <c r="A44" s="9">
        <v>6203</v>
      </c>
      <c r="B44" s="2" t="s">
        <v>56</v>
      </c>
      <c r="C44" s="7">
        <v>0</v>
      </c>
      <c r="D44" s="2">
        <v>585</v>
      </c>
      <c r="E44" s="2">
        <v>1587</v>
      </c>
      <c r="F44" s="2">
        <v>1755</v>
      </c>
      <c r="G44" s="2">
        <v>7020</v>
      </c>
    </row>
    <row r="45" spans="1:7" ht="12.75">
      <c r="A45" s="9">
        <v>6209</v>
      </c>
      <c r="B45" s="2" t="s">
        <v>57</v>
      </c>
      <c r="C45" s="7">
        <v>552</v>
      </c>
      <c r="D45" s="2">
        <v>197</v>
      </c>
      <c r="E45" s="2">
        <v>2206</v>
      </c>
      <c r="F45" s="2">
        <f>591+591+591</f>
        <v>1773</v>
      </c>
      <c r="G45" s="2">
        <v>2364</v>
      </c>
    </row>
    <row r="46" spans="1:7" ht="12.75">
      <c r="A46" s="9">
        <v>6206</v>
      </c>
      <c r="B46" s="2" t="s">
        <v>64</v>
      </c>
      <c r="C46" s="7">
        <v>496</v>
      </c>
      <c r="D46" s="2">
        <v>630</v>
      </c>
      <c r="E46" s="2">
        <v>522</v>
      </c>
      <c r="F46" s="2">
        <v>630</v>
      </c>
      <c r="G46" s="2">
        <v>3780</v>
      </c>
    </row>
    <row r="47" spans="1:7" ht="12.75">
      <c r="A47" s="9">
        <v>6208</v>
      </c>
      <c r="B47" s="2" t="s">
        <v>66</v>
      </c>
      <c r="C47" s="7">
        <v>307</v>
      </c>
      <c r="D47" s="2">
        <v>1307</v>
      </c>
      <c r="E47" s="2">
        <v>1796</v>
      </c>
      <c r="F47" s="2">
        <v>3921</v>
      </c>
      <c r="G47" s="2">
        <v>15684</v>
      </c>
    </row>
    <row r="48" spans="1:7" ht="12.75">
      <c r="A48" s="9">
        <v>6601</v>
      </c>
      <c r="B48" s="2" t="s">
        <v>78</v>
      </c>
      <c r="C48" s="7"/>
      <c r="G48" s="2">
        <v>5696</v>
      </c>
    </row>
    <row r="49" spans="2:7" ht="12.75">
      <c r="B49" s="2" t="s">
        <v>79</v>
      </c>
      <c r="C49" s="7">
        <v>1899</v>
      </c>
      <c r="D49" s="2">
        <v>1899</v>
      </c>
      <c r="E49" s="2">
        <v>12233</v>
      </c>
      <c r="F49" s="2">
        <v>12333</v>
      </c>
      <c r="G49" s="2">
        <v>12233</v>
      </c>
    </row>
    <row r="50" spans="1:7" ht="12.75">
      <c r="A50" s="9" t="s">
        <v>89</v>
      </c>
      <c r="B50" s="2" t="s">
        <v>34</v>
      </c>
      <c r="C50" s="7">
        <f>943+34</f>
        <v>977</v>
      </c>
      <c r="D50" s="2">
        <v>1249</v>
      </c>
      <c r="E50" s="2">
        <f>34+2207</f>
        <v>2241</v>
      </c>
      <c r="F50" s="2">
        <v>750</v>
      </c>
      <c r="G50" s="2">
        <v>3000</v>
      </c>
    </row>
    <row r="51" spans="1:7" ht="12.75">
      <c r="A51" s="9" t="s">
        <v>99</v>
      </c>
      <c r="B51" s="2" t="s">
        <v>76</v>
      </c>
      <c r="C51" s="7">
        <f>648+938</f>
        <v>1586</v>
      </c>
      <c r="D51" s="2">
        <f>620+100+40+20</f>
        <v>780</v>
      </c>
      <c r="E51" s="2">
        <f>1176+1032-3</f>
        <v>2205</v>
      </c>
      <c r="F51" s="2">
        <f>60+1860+300+120</f>
        <v>2340</v>
      </c>
      <c r="G51" s="2">
        <f>2496+240+7440+480+1200+750</f>
        <v>12606</v>
      </c>
    </row>
    <row r="52" spans="1:7" ht="12.75">
      <c r="A52" s="9" t="s">
        <v>90</v>
      </c>
      <c r="B52" s="2" t="s">
        <v>37</v>
      </c>
      <c r="C52" s="7">
        <v>68</v>
      </c>
      <c r="D52" s="2">
        <v>517</v>
      </c>
      <c r="E52" s="2">
        <f>1006</f>
        <v>1006</v>
      </c>
      <c r="F52" s="2">
        <v>1551</v>
      </c>
      <c r="G52" s="2">
        <v>6204</v>
      </c>
    </row>
    <row r="53" spans="1:7" ht="12.75">
      <c r="A53" s="9" t="s">
        <v>91</v>
      </c>
      <c r="B53" s="2" t="s">
        <v>38</v>
      </c>
      <c r="C53" s="7">
        <f>2100+3732</f>
        <v>5832</v>
      </c>
      <c r="D53" s="2">
        <v>610</v>
      </c>
      <c r="E53" s="2">
        <f>2100+3732</f>
        <v>5832</v>
      </c>
      <c r="F53" s="2">
        <f>600+1230</f>
        <v>1830</v>
      </c>
      <c r="G53" s="2">
        <f>4920+2400+1100</f>
        <v>8420</v>
      </c>
    </row>
    <row r="54" spans="1:7" ht="12.75">
      <c r="A54" s="9" t="s">
        <v>92</v>
      </c>
      <c r="B54" s="2" t="s">
        <v>77</v>
      </c>
      <c r="C54" s="7">
        <v>569</v>
      </c>
      <c r="D54" s="2">
        <v>266</v>
      </c>
      <c r="E54" s="2">
        <f>1143+439</f>
        <v>1582</v>
      </c>
      <c r="F54" s="2">
        <f>600+798</f>
        <v>1398</v>
      </c>
      <c r="G54" s="2">
        <f>2400+3192</f>
        <v>5592</v>
      </c>
    </row>
    <row r="55" spans="1:7" ht="12.75">
      <c r="A55" s="9">
        <v>6202</v>
      </c>
      <c r="B55" s="2" t="s">
        <v>39</v>
      </c>
      <c r="C55" s="7">
        <v>782</v>
      </c>
      <c r="D55" s="2">
        <v>541</v>
      </c>
      <c r="E55" s="2">
        <v>1572</v>
      </c>
      <c r="F55" s="2">
        <v>1623</v>
      </c>
      <c r="G55" s="2">
        <v>6492</v>
      </c>
    </row>
    <row r="56" spans="1:7" ht="12.75">
      <c r="A56" s="9" t="s">
        <v>93</v>
      </c>
      <c r="B56" s="2" t="s">
        <v>74</v>
      </c>
      <c r="C56" s="7">
        <v>2400</v>
      </c>
      <c r="D56" s="2">
        <v>0</v>
      </c>
      <c r="E56" s="2">
        <v>3000</v>
      </c>
      <c r="F56" s="2">
        <v>600</v>
      </c>
      <c r="G56" s="2">
        <v>14237</v>
      </c>
    </row>
    <row r="57" spans="1:7" ht="12.75">
      <c r="A57" s="9" t="s">
        <v>98</v>
      </c>
      <c r="B57" s="2" t="s">
        <v>62</v>
      </c>
      <c r="C57" s="7">
        <f>199+300</f>
        <v>499</v>
      </c>
      <c r="D57" s="2">
        <v>918</v>
      </c>
      <c r="E57" s="2">
        <f>3604-1006-2100+125</f>
        <v>623</v>
      </c>
      <c r="F57" s="2">
        <f>4455-1551-600</f>
        <v>2304</v>
      </c>
      <c r="G57" s="2">
        <f>9841+300</f>
        <v>10141</v>
      </c>
    </row>
    <row r="58" spans="1:7" ht="12.75">
      <c r="A58" s="9" t="s">
        <v>94</v>
      </c>
      <c r="B58" s="2" t="s">
        <v>63</v>
      </c>
      <c r="C58" s="7">
        <v>196</v>
      </c>
      <c r="D58" s="2">
        <v>192</v>
      </c>
      <c r="E58" s="2">
        <f>96+588</f>
        <v>684</v>
      </c>
      <c r="F58" s="2">
        <f>300+576</f>
        <v>876</v>
      </c>
      <c r="G58" s="2">
        <f>1200+2304</f>
        <v>3504</v>
      </c>
    </row>
    <row r="59" spans="1:7" ht="12.75">
      <c r="A59" s="9" t="s">
        <v>97</v>
      </c>
      <c r="B59" s="2" t="s">
        <v>40</v>
      </c>
      <c r="C59" s="7">
        <f>2853+6</f>
        <v>2859</v>
      </c>
      <c r="D59" s="2">
        <f>666+100</f>
        <v>766</v>
      </c>
      <c r="E59" s="2">
        <f>7114+1502</f>
        <v>8616</v>
      </c>
      <c r="F59" s="2">
        <f>4016+1665</f>
        <v>5681</v>
      </c>
      <c r="G59" s="2">
        <f>18010+7992</f>
        <v>26002</v>
      </c>
    </row>
    <row r="60" spans="1:7" s="5" customFormat="1" ht="12.75">
      <c r="A60" s="12"/>
      <c r="B60" s="5" t="s">
        <v>41</v>
      </c>
      <c r="C60" s="7">
        <f>SUM(C39:C59)</f>
        <v>22787</v>
      </c>
      <c r="D60" s="5">
        <f>SUM(D39:D59)</f>
        <v>19049</v>
      </c>
      <c r="E60" s="5">
        <f>SUM(E39:E59)</f>
        <v>57411</v>
      </c>
      <c r="F60" s="5">
        <f>SUM(F39:F59)</f>
        <v>57641</v>
      </c>
      <c r="G60" s="5">
        <f>SUM(G39:G59)</f>
        <v>238129</v>
      </c>
    </row>
    <row r="61" spans="3:7" ht="12.75">
      <c r="C61" s="8">
        <f>C30+C36+C60</f>
        <v>71744</v>
      </c>
      <c r="D61" s="2">
        <f>D30+D36+D60</f>
        <v>67844</v>
      </c>
      <c r="E61" s="2">
        <f>E30+E36+E60</f>
        <v>202549</v>
      </c>
      <c r="F61" s="2">
        <f>F30+F36+F60</f>
        <v>194995</v>
      </c>
      <c r="G61" s="2">
        <f>G30+G36+G60</f>
        <v>791749</v>
      </c>
    </row>
    <row r="64" ht="12.75">
      <c r="B64" s="2" t="s">
        <v>102</v>
      </c>
    </row>
    <row r="65" ht="12.75">
      <c r="B65" s="2" t="s">
        <v>81</v>
      </c>
    </row>
    <row r="66" ht="12.75">
      <c r="B66" s="2" t="s">
        <v>82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2016-11-17T14:43:47Z</cp:lastPrinted>
  <dcterms:created xsi:type="dcterms:W3CDTF">2016-08-22T16:15:20Z</dcterms:created>
  <dcterms:modified xsi:type="dcterms:W3CDTF">2017-01-25T20:26:01Z</dcterms:modified>
  <cp:category/>
  <cp:version/>
  <cp:contentType/>
  <cp:contentStatus/>
</cp:coreProperties>
</file>