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Dec" sheetId="1" r:id="rId1"/>
    <sheet name="nov" sheetId="2" r:id="rId2"/>
    <sheet name="Sheet3" sheetId="3" r:id="rId3"/>
  </sheets>
  <definedNames>
    <definedName name="_xlnm.Print_Area" localSheetId="0">'Dec'!$A$1:$F$67</definedName>
    <definedName name="_xlnm.Print_Area" localSheetId="1">'nov'!$A$1:$F$67</definedName>
  </definedNames>
  <calcPr fullCalcOnLoad="1"/>
</workbook>
</file>

<file path=xl/sharedStrings.xml><?xml version="1.0" encoding="utf-8"?>
<sst xmlns="http://schemas.openxmlformats.org/spreadsheetml/2006/main" count="174" uniqueCount="70">
  <si>
    <t>Actual</t>
  </si>
  <si>
    <t>Budgeted</t>
  </si>
  <si>
    <t>YTD Actual</t>
  </si>
  <si>
    <t>YTD Budgeted</t>
  </si>
  <si>
    <t>Yearly Budgeted</t>
  </si>
  <si>
    <t>Parish Budget , December 2016</t>
  </si>
  <si>
    <t>December</t>
  </si>
  <si>
    <t>Jul - Dec</t>
  </si>
  <si>
    <t>Jul - Jun</t>
  </si>
  <si>
    <t>Total Income</t>
  </si>
  <si>
    <t>Total Expenses</t>
  </si>
  <si>
    <t>Income Less Expenses</t>
  </si>
  <si>
    <t>Income:</t>
  </si>
  <si>
    <t xml:space="preserve">Offertory </t>
  </si>
  <si>
    <t>2nd Collection (Parish)</t>
  </si>
  <si>
    <t>Grand Annual</t>
  </si>
  <si>
    <t>Sacramental Offerings</t>
  </si>
  <si>
    <t>Candles / Flowers</t>
  </si>
  <si>
    <t>Capital Campaign</t>
  </si>
  <si>
    <t>Religious Education</t>
  </si>
  <si>
    <t>Donations</t>
  </si>
  <si>
    <t>Other</t>
  </si>
  <si>
    <t xml:space="preserve">Fundraisng / Reim. </t>
  </si>
  <si>
    <t>Rent</t>
  </si>
  <si>
    <t>Totals Income</t>
  </si>
  <si>
    <t>Expenses:</t>
  </si>
  <si>
    <t>Witholdings</t>
  </si>
  <si>
    <t>Payroll/ EFT System</t>
  </si>
  <si>
    <t>FICA</t>
  </si>
  <si>
    <t>Clergy Medical</t>
  </si>
  <si>
    <t>Lay Benefits</t>
  </si>
  <si>
    <t>Insurance-Hazard Liab.</t>
  </si>
  <si>
    <t>Central Monlthly Tithe</t>
  </si>
  <si>
    <t>Total Withholdings</t>
  </si>
  <si>
    <t>Salaries:</t>
  </si>
  <si>
    <t>Clergy Salaries</t>
  </si>
  <si>
    <t>Clergy Assistance</t>
  </si>
  <si>
    <t>Staff Salaries</t>
  </si>
  <si>
    <t>Total Finance Payments</t>
  </si>
  <si>
    <t>Fixed Expenses:</t>
  </si>
  <si>
    <t>Bulidings and Grounds</t>
  </si>
  <si>
    <t>Parish Renovations</t>
  </si>
  <si>
    <t>Heat (Gas &amp; Oil)</t>
  </si>
  <si>
    <t>Water</t>
  </si>
  <si>
    <t>Eversource</t>
  </si>
  <si>
    <t>Equipment Repair &amp; Contracts</t>
  </si>
  <si>
    <t>Equipment Rental</t>
  </si>
  <si>
    <t>Printing</t>
  </si>
  <si>
    <t>Dues Subscriptions</t>
  </si>
  <si>
    <t>CYO Expenses</t>
  </si>
  <si>
    <t>Payments to Debt</t>
  </si>
  <si>
    <t>Household / Groceries</t>
  </si>
  <si>
    <t>Office Expense</t>
  </si>
  <si>
    <t>Church Supplies</t>
  </si>
  <si>
    <t>Religious Education Expenses</t>
  </si>
  <si>
    <t>Misslets / Envelopes</t>
  </si>
  <si>
    <t>Verizon</t>
  </si>
  <si>
    <t>Retreats</t>
  </si>
  <si>
    <t>Pastoral Liturgical</t>
  </si>
  <si>
    <t>Vehicle Expense</t>
  </si>
  <si>
    <t>Lifeteen Expenses</t>
  </si>
  <si>
    <t>Total Fixed Expenses</t>
  </si>
  <si>
    <t>This Financial Report for July thru December has been prepared to allow you to have access to the financial matters of the Parish.</t>
  </si>
  <si>
    <t xml:space="preserve">We want you to know that we take serious our financial responsibilities in managing your donations.  If you have any questions </t>
  </si>
  <si>
    <t>please contact Fr. Wayne or any member of the Finance Council.  Thank you for your support to the Parish.</t>
  </si>
  <si>
    <t>Parish Budget , November 2016</t>
  </si>
  <si>
    <t>November</t>
  </si>
  <si>
    <t>Jul - Nov</t>
  </si>
  <si>
    <t>Candles</t>
  </si>
  <si>
    <t>This Financial Report for July thru November has been prepared to allow you to have access to the financial matters of the Parish.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</si>
</sst>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4" fontId="0" fillId="0" borderId="0" xfId="0" applyNumberFormat="1" applyAlignment="1">
      <alignment horizontal="center"/>
    </xf>
    <xf numFmtId="44" fontId="1" fillId="0" borderId="0" xfId="0" applyNumberFormat="1" applyFont="1" applyAlignment="1">
      <alignment horizontal="center"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44" fontId="1" fillId="0" borderId="2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1" fillId="2" borderId="0" xfId="0" applyNumberFormat="1" applyFont="1" applyFill="1" applyAlignment="1">
      <alignment/>
    </xf>
    <xf numFmtId="4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38.421875" style="3" customWidth="1"/>
    <col min="2" max="2" width="14.421875" style="3" customWidth="1"/>
    <col min="3" max="3" width="14.140625" style="3" customWidth="1"/>
    <col min="4" max="4" width="13.140625" style="3" customWidth="1"/>
    <col min="5" max="5" width="15.28125" style="3" customWidth="1"/>
    <col min="6" max="6" width="17.421875" style="3" customWidth="1"/>
    <col min="7" max="7" width="12.28125" style="3" bestFit="1" customWidth="1"/>
    <col min="8" max="8" width="12.8515625" style="3" bestFit="1" customWidth="1"/>
    <col min="9" max="9" width="14.00390625" style="3" bestFit="1" customWidth="1"/>
    <col min="10" max="16384" width="9.140625" style="3" customWidth="1"/>
  </cols>
  <sheetData>
    <row r="1" spans="2:6" s="1" customFormat="1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s="1" customFormat="1" ht="12.75">
      <c r="A2" s="1" t="s">
        <v>5</v>
      </c>
      <c r="B2" s="1" t="s">
        <v>6</v>
      </c>
      <c r="C2" s="1" t="s">
        <v>6</v>
      </c>
      <c r="D2" s="1" t="s">
        <v>7</v>
      </c>
      <c r="E2" s="1" t="s">
        <v>7</v>
      </c>
      <c r="F2" s="1" t="s">
        <v>8</v>
      </c>
    </row>
    <row r="4" spans="1:6" ht="12.75">
      <c r="A4" s="3" t="s">
        <v>9</v>
      </c>
      <c r="B4" s="3">
        <f>54194+2515</f>
        <v>56709</v>
      </c>
      <c r="C4" s="3">
        <v>76071</v>
      </c>
      <c r="D4" s="3">
        <f>496316+2515</f>
        <v>498831</v>
      </c>
      <c r="E4" s="3">
        <f>492432+2515</f>
        <v>494947</v>
      </c>
      <c r="F4" s="3">
        <f>851577</f>
        <v>851577</v>
      </c>
    </row>
    <row r="5" spans="1:6" s="4" customFormat="1" ht="12.75">
      <c r="A5" s="4" t="s">
        <v>10</v>
      </c>
      <c r="B5" s="4">
        <f>76491+2515</f>
        <v>79006</v>
      </c>
      <c r="C5" s="4">
        <f>70792+2515</f>
        <v>73307</v>
      </c>
      <c r="D5" s="3">
        <f>412650+2515</f>
        <v>415165</v>
      </c>
      <c r="E5" s="4">
        <f>389729-2874+2515</f>
        <v>389370</v>
      </c>
      <c r="F5" s="4">
        <v>793302</v>
      </c>
    </row>
    <row r="6" spans="1:6" s="5" customFormat="1" ht="12.75">
      <c r="A6" s="5" t="s">
        <v>11</v>
      </c>
      <c r="B6" s="5">
        <f>B4-B5</f>
        <v>-22297</v>
      </c>
      <c r="C6" s="5">
        <f>C4-C5</f>
        <v>2764</v>
      </c>
      <c r="D6" s="5">
        <f>D4-D5</f>
        <v>83666</v>
      </c>
      <c r="E6" s="5">
        <f>E4-E5</f>
        <v>105577</v>
      </c>
      <c r="F6" s="5">
        <f>F4-F5</f>
        <v>58275</v>
      </c>
    </row>
    <row r="8" spans="1:6" ht="12.75">
      <c r="A8" s="6" t="s">
        <v>12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</row>
    <row r="9" spans="1:6" ht="12.75">
      <c r="A9" s="3" t="s">
        <v>13</v>
      </c>
      <c r="B9" s="6">
        <v>40586</v>
      </c>
      <c r="C9" s="3">
        <v>49200</v>
      </c>
      <c r="D9" s="3">
        <v>278058</v>
      </c>
      <c r="E9" s="3">
        <v>284475</v>
      </c>
      <c r="F9" s="3">
        <f>546785-196</f>
        <v>546589</v>
      </c>
    </row>
    <row r="10" spans="1:2" ht="12.75">
      <c r="A10" s="3" t="s">
        <v>14</v>
      </c>
      <c r="B10" s="6"/>
    </row>
    <row r="11" spans="1:6" ht="12.75">
      <c r="A11" s="3" t="s">
        <v>15</v>
      </c>
      <c r="B11" s="6">
        <v>4758</v>
      </c>
      <c r="C11" s="3">
        <v>10200</v>
      </c>
      <c r="D11" s="3">
        <v>93035</v>
      </c>
      <c r="E11" s="3">
        <v>90200</v>
      </c>
      <c r="F11" s="3">
        <v>89200</v>
      </c>
    </row>
    <row r="12" spans="1:6" ht="12.75">
      <c r="A12" s="3" t="s">
        <v>16</v>
      </c>
      <c r="B12" s="6">
        <v>1895</v>
      </c>
      <c r="C12" s="3">
        <v>5900</v>
      </c>
      <c r="D12" s="3">
        <v>23840</v>
      </c>
      <c r="E12" s="3">
        <v>29952</v>
      </c>
      <c r="F12" s="3">
        <v>62400</v>
      </c>
    </row>
    <row r="13" spans="1:6" ht="12.75">
      <c r="A13" s="3" t="s">
        <v>17</v>
      </c>
      <c r="B13" s="6">
        <v>2745</v>
      </c>
      <c r="C13" s="3">
        <v>4200</v>
      </c>
      <c r="D13" s="3">
        <v>2745</v>
      </c>
      <c r="E13" s="3">
        <v>4300</v>
      </c>
      <c r="F13" s="3">
        <v>6800</v>
      </c>
    </row>
    <row r="14" spans="1:6" ht="12.75">
      <c r="A14" s="3" t="s">
        <v>18</v>
      </c>
      <c r="B14" s="6"/>
      <c r="F14" s="3">
        <v>17076</v>
      </c>
    </row>
    <row r="15" spans="1:6" ht="12.75">
      <c r="A15" s="3" t="s">
        <v>19</v>
      </c>
      <c r="B15" s="6">
        <v>225</v>
      </c>
      <c r="C15" s="3">
        <v>600</v>
      </c>
      <c r="D15" s="3">
        <v>30725</v>
      </c>
      <c r="E15" s="3">
        <v>37985</v>
      </c>
      <c r="F15" s="3">
        <v>30350</v>
      </c>
    </row>
    <row r="16" spans="1:6" ht="12.75">
      <c r="A16" s="3" t="s">
        <v>20</v>
      </c>
      <c r="B16" s="6">
        <v>900</v>
      </c>
      <c r="C16" s="3">
        <v>1300</v>
      </c>
      <c r="D16" s="3">
        <v>4670</v>
      </c>
      <c r="E16" s="3">
        <v>6977</v>
      </c>
      <c r="F16" s="3">
        <v>26575</v>
      </c>
    </row>
    <row r="17" spans="1:6" ht="12.75">
      <c r="A17" s="3" t="s">
        <v>21</v>
      </c>
      <c r="B17" s="6">
        <f>14+1600+2515</f>
        <v>4129</v>
      </c>
      <c r="C17" s="3">
        <f>300+21+50+1800</f>
        <v>2171</v>
      </c>
      <c r="D17" s="3">
        <f>6130+165+528+2515</f>
        <v>9338</v>
      </c>
      <c r="E17" s="3">
        <f>141+4750+2515</f>
        <v>7406</v>
      </c>
      <c r="F17" s="3">
        <f>7350+5450+282+1325</f>
        <v>14407</v>
      </c>
    </row>
    <row r="18" spans="1:6" ht="12.75">
      <c r="A18" s="7" t="s">
        <v>22</v>
      </c>
      <c r="B18" s="6">
        <v>271</v>
      </c>
      <c r="C18" s="3">
        <v>1300</v>
      </c>
      <c r="D18" s="3">
        <v>46220</v>
      </c>
      <c r="E18" s="3">
        <f>16442+6950+725</f>
        <v>24117</v>
      </c>
      <c r="F18" s="3">
        <v>41380</v>
      </c>
    </row>
    <row r="19" spans="1:6" ht="12.75">
      <c r="A19" s="3" t="s">
        <v>23</v>
      </c>
      <c r="B19" s="6">
        <v>1200</v>
      </c>
      <c r="C19" s="3">
        <v>1200</v>
      </c>
      <c r="D19" s="3">
        <v>10200</v>
      </c>
      <c r="E19" s="3">
        <v>9535</v>
      </c>
      <c r="F19" s="3">
        <v>16800</v>
      </c>
    </row>
    <row r="20" spans="1:6" s="6" customFormat="1" ht="12.75">
      <c r="A20" s="6" t="s">
        <v>24</v>
      </c>
      <c r="B20" s="6">
        <f>SUM(B9:B19)</f>
        <v>56709</v>
      </c>
      <c r="C20" s="6">
        <f>SUM(C9:C19)</f>
        <v>76071</v>
      </c>
      <c r="D20" s="6">
        <f>SUM(D9:D19)</f>
        <v>498831</v>
      </c>
      <c r="E20" s="6">
        <f>SUM(E9:E19)</f>
        <v>494947</v>
      </c>
      <c r="F20" s="6">
        <f>SUM(F9:F19)</f>
        <v>851577</v>
      </c>
    </row>
    <row r="22" ht="12.75">
      <c r="A22" s="6" t="s">
        <v>25</v>
      </c>
    </row>
    <row r="23" spans="1:6" ht="12.75">
      <c r="A23" s="6" t="s">
        <v>26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</row>
    <row r="24" spans="1:6" ht="12.75">
      <c r="A24" s="3" t="s">
        <v>27</v>
      </c>
      <c r="B24" s="8">
        <v>361</v>
      </c>
      <c r="C24" s="3">
        <v>420</v>
      </c>
      <c r="D24" s="3">
        <f>2523+36</f>
        <v>2559</v>
      </c>
      <c r="E24" s="3">
        <v>2506</v>
      </c>
      <c r="F24" s="3">
        <v>2544</v>
      </c>
    </row>
    <row r="25" spans="1:6" ht="12.75">
      <c r="A25" s="3" t="s">
        <v>28</v>
      </c>
      <c r="B25" s="8">
        <v>2039</v>
      </c>
      <c r="C25" s="3">
        <v>2226</v>
      </c>
      <c r="D25" s="3">
        <v>11012</v>
      </c>
      <c r="E25" s="3">
        <v>11523</v>
      </c>
      <c r="F25" s="3">
        <v>23160</v>
      </c>
    </row>
    <row r="26" spans="1:6" ht="12.75">
      <c r="A26" s="3" t="s">
        <v>29</v>
      </c>
      <c r="B26" s="8">
        <v>2940</v>
      </c>
      <c r="C26" s="3">
        <v>2940</v>
      </c>
      <c r="D26" s="3">
        <v>17640</v>
      </c>
      <c r="E26" s="3">
        <v>17545</v>
      </c>
      <c r="F26" s="3">
        <v>35280</v>
      </c>
    </row>
    <row r="27" spans="1:6" ht="12.75">
      <c r="A27" s="3" t="s">
        <v>30</v>
      </c>
      <c r="B27" s="8">
        <f>739+64+108+46+806+786+73</f>
        <v>2622</v>
      </c>
      <c r="C27" s="3">
        <f>706+64+89+52+786+112+681</f>
        <v>2490</v>
      </c>
      <c r="D27" s="3">
        <f>4400+384+606+289+4716+407+5447</f>
        <v>16249</v>
      </c>
      <c r="E27" s="1">
        <f>4213+382+531+310+4691+668+4064</f>
        <v>14859</v>
      </c>
      <c r="F27" s="3">
        <f>8472+768+1068+624+9432+1344+8172</f>
        <v>29880</v>
      </c>
    </row>
    <row r="28" spans="1:6" ht="12.75">
      <c r="A28" s="3" t="s">
        <v>31</v>
      </c>
      <c r="B28" s="8">
        <v>2810</v>
      </c>
      <c r="C28" s="3">
        <v>2750</v>
      </c>
      <c r="D28" s="3">
        <v>16860</v>
      </c>
      <c r="E28" s="3">
        <v>16411</v>
      </c>
      <c r="F28" s="3">
        <v>33000</v>
      </c>
    </row>
    <row r="29" spans="1:6" ht="12.75">
      <c r="A29" s="3" t="s">
        <v>32</v>
      </c>
      <c r="B29" s="8">
        <v>5820</v>
      </c>
      <c r="C29" s="3">
        <f>5820+228</f>
        <v>6048</v>
      </c>
      <c r="D29" s="3">
        <v>34919</v>
      </c>
      <c r="E29" s="3">
        <f>34732+1361</f>
        <v>36093</v>
      </c>
      <c r="F29" s="3">
        <f>69840+2736</f>
        <v>72576</v>
      </c>
    </row>
    <row r="30" spans="1:6" s="6" customFormat="1" ht="12.75">
      <c r="A30" s="6" t="s">
        <v>33</v>
      </c>
      <c r="B30" s="6">
        <f>SUM(B24:B29)</f>
        <v>16592</v>
      </c>
      <c r="C30" s="6">
        <f>SUM(C24:C29)</f>
        <v>16874</v>
      </c>
      <c r="D30" s="6">
        <f>SUM(D24:D29)</f>
        <v>99239</v>
      </c>
      <c r="E30" s="6">
        <f>SUM(E24:E29)</f>
        <v>98937</v>
      </c>
      <c r="F30" s="6">
        <f>SUM(F24:F29)</f>
        <v>196440</v>
      </c>
    </row>
    <row r="32" spans="1:6" ht="12.75">
      <c r="A32" s="6" t="s">
        <v>34</v>
      </c>
      <c r="B32" s="2" t="s">
        <v>0</v>
      </c>
      <c r="C32" s="2" t="s">
        <v>1</v>
      </c>
      <c r="D32" s="2" t="s">
        <v>2</v>
      </c>
      <c r="E32" s="2" t="s">
        <v>3</v>
      </c>
      <c r="F32" s="2" t="s">
        <v>4</v>
      </c>
    </row>
    <row r="33" spans="1:6" ht="12.75">
      <c r="A33" s="3" t="s">
        <v>35</v>
      </c>
      <c r="B33" s="8">
        <v>3925</v>
      </c>
      <c r="C33" s="3">
        <v>4985</v>
      </c>
      <c r="D33" s="3">
        <v>26885</v>
      </c>
      <c r="E33" s="3">
        <v>29749</v>
      </c>
      <c r="F33" s="3">
        <v>59820</v>
      </c>
    </row>
    <row r="34" spans="1:6" ht="12.75">
      <c r="A34" s="3" t="s">
        <v>36</v>
      </c>
      <c r="B34" s="8"/>
      <c r="C34" s="3">
        <v>500</v>
      </c>
      <c r="D34" s="3">
        <v>800</v>
      </c>
      <c r="E34" s="3">
        <f>2984+725</f>
        <v>3709</v>
      </c>
      <c r="F34" s="3">
        <v>6000</v>
      </c>
    </row>
    <row r="35" spans="1:6" ht="12.75">
      <c r="A35" s="3" t="s">
        <v>37</v>
      </c>
      <c r="B35" s="8">
        <f>14512+12228+4925</f>
        <v>31665</v>
      </c>
      <c r="C35" s="3">
        <f>17372+8014+4600</f>
        <v>29986</v>
      </c>
      <c r="D35" s="3">
        <f>75285+68423+13764</f>
        <v>157472</v>
      </c>
      <c r="E35" s="3">
        <f>89884+41243+12850</f>
        <v>143977</v>
      </c>
      <c r="F35" s="3">
        <f>180664+82896+27800</f>
        <v>291360</v>
      </c>
    </row>
    <row r="36" spans="1:6" s="6" customFormat="1" ht="12.75">
      <c r="A36" s="6" t="s">
        <v>38</v>
      </c>
      <c r="B36" s="6">
        <f>SUM(B33:B35)</f>
        <v>35590</v>
      </c>
      <c r="C36" s="6">
        <f>SUM(C33:C35)</f>
        <v>35471</v>
      </c>
      <c r="D36" s="6">
        <f>SUM(D33:D35)</f>
        <v>185157</v>
      </c>
      <c r="E36" s="6">
        <f>SUM(E33:E35)</f>
        <v>177435</v>
      </c>
      <c r="F36" s="6">
        <f>SUM(F33:F35)</f>
        <v>357180</v>
      </c>
    </row>
    <row r="38" spans="1:6" ht="12.75">
      <c r="A38" s="6" t="s">
        <v>39</v>
      </c>
      <c r="B38" s="2" t="s">
        <v>0</v>
      </c>
      <c r="C38" s="2" t="s">
        <v>1</v>
      </c>
      <c r="D38" s="2" t="s">
        <v>2</v>
      </c>
      <c r="E38" s="2" t="s">
        <v>3</v>
      </c>
      <c r="F38" s="2" t="s">
        <v>4</v>
      </c>
    </row>
    <row r="39" spans="1:6" ht="12.75">
      <c r="A39" s="3" t="s">
        <v>40</v>
      </c>
      <c r="B39" s="8">
        <f>793+4805+525</f>
        <v>6123</v>
      </c>
      <c r="C39" s="3">
        <f>508+2300+732</f>
        <v>3540</v>
      </c>
      <c r="D39" s="3">
        <f>3695+8020+6907+1964+949+2378</f>
        <v>23913</v>
      </c>
      <c r="E39" s="3">
        <f>3032+10774+4368+2100+600+2750</f>
        <v>23624</v>
      </c>
      <c r="F39" s="3">
        <f>6096+24600+8784+4200+1200+5600</f>
        <v>50480</v>
      </c>
    </row>
    <row r="40" spans="1:2" ht="12.75">
      <c r="A40" s="3" t="s">
        <v>41</v>
      </c>
      <c r="B40" s="8"/>
    </row>
    <row r="41" spans="1:6" ht="12.75">
      <c r="A41" s="3" t="s">
        <v>42</v>
      </c>
      <c r="B41" s="8">
        <v>5852</v>
      </c>
      <c r="C41" s="3">
        <v>3075</v>
      </c>
      <c r="D41" s="3">
        <f>2039+2220+5362</f>
        <v>9621</v>
      </c>
      <c r="E41" s="3">
        <f>3200+1450+4000</f>
        <v>8650</v>
      </c>
      <c r="F41" s="3">
        <f>8000+3550+10000</f>
        <v>21550</v>
      </c>
    </row>
    <row r="42" spans="1:6" ht="12.75">
      <c r="A42" s="3" t="s">
        <v>43</v>
      </c>
      <c r="B42" s="8">
        <v>117</v>
      </c>
      <c r="C42" s="3">
        <v>353</v>
      </c>
      <c r="D42" s="3">
        <v>1531</v>
      </c>
      <c r="E42" s="3">
        <v>2107</v>
      </c>
      <c r="F42" s="3">
        <v>4236</v>
      </c>
    </row>
    <row r="43" spans="1:6" ht="12.75">
      <c r="A43" s="3" t="s">
        <v>44</v>
      </c>
      <c r="B43" s="8">
        <v>382</v>
      </c>
      <c r="C43" s="3">
        <v>1574</v>
      </c>
      <c r="D43" s="3">
        <v>6786</v>
      </c>
      <c r="E43" s="3">
        <v>9393</v>
      </c>
      <c r="F43" s="3">
        <v>18888</v>
      </c>
    </row>
    <row r="44" spans="1:6" ht="12.75">
      <c r="A44" s="3" t="s">
        <v>45</v>
      </c>
      <c r="B44" s="8">
        <v>1137</v>
      </c>
      <c r="C44" s="3">
        <v>585</v>
      </c>
      <c r="D44" s="3">
        <v>2723</v>
      </c>
      <c r="E44" s="3">
        <v>3491</v>
      </c>
      <c r="F44" s="3">
        <v>7020</v>
      </c>
    </row>
    <row r="45" spans="1:6" ht="12.75">
      <c r="A45" s="3" t="s">
        <v>46</v>
      </c>
      <c r="B45" s="8">
        <v>453</v>
      </c>
      <c r="C45" s="3">
        <v>788</v>
      </c>
      <c r="D45" s="3">
        <v>4358</v>
      </c>
      <c r="E45" s="3">
        <v>4703</v>
      </c>
      <c r="F45" s="3">
        <v>2364</v>
      </c>
    </row>
    <row r="46" spans="1:6" ht="12.75">
      <c r="A46" s="3" t="s">
        <v>47</v>
      </c>
      <c r="B46" s="8">
        <v>252</v>
      </c>
      <c r="C46" s="3">
        <v>315</v>
      </c>
      <c r="D46" s="3">
        <v>2863</v>
      </c>
      <c r="E46" s="3">
        <v>1890</v>
      </c>
      <c r="F46" s="3">
        <v>3780</v>
      </c>
    </row>
    <row r="47" spans="1:6" ht="12.75">
      <c r="A47" s="3" t="s">
        <v>48</v>
      </c>
      <c r="B47" s="8">
        <v>101</v>
      </c>
      <c r="C47" s="3">
        <v>307</v>
      </c>
      <c r="D47" s="3">
        <f>4353-1539</f>
        <v>2814</v>
      </c>
      <c r="E47" s="3">
        <f>716+1116</f>
        <v>1832</v>
      </c>
      <c r="F47" s="3">
        <v>15684</v>
      </c>
    </row>
    <row r="48" spans="1:6" ht="12.75">
      <c r="A48" s="3" t="s">
        <v>49</v>
      </c>
      <c r="B48" s="8">
        <v>1287</v>
      </c>
      <c r="C48" s="3">
        <v>916</v>
      </c>
      <c r="D48" s="3">
        <v>1887</v>
      </c>
      <c r="E48" s="3">
        <f>2250+498+200</f>
        <v>2948</v>
      </c>
      <c r="F48" s="3">
        <v>5696</v>
      </c>
    </row>
    <row r="49" spans="1:6" ht="12.75">
      <c r="A49" s="3" t="s">
        <v>50</v>
      </c>
      <c r="B49" s="8">
        <v>2515</v>
      </c>
      <c r="C49" s="3">
        <v>2515</v>
      </c>
      <c r="D49" s="3">
        <v>2515</v>
      </c>
      <c r="E49" s="3">
        <v>2515</v>
      </c>
      <c r="F49" s="3">
        <v>13786</v>
      </c>
    </row>
    <row r="50" spans="1:6" ht="12.75">
      <c r="A50" s="3" t="s">
        <v>51</v>
      </c>
      <c r="B50" s="8">
        <f>682</f>
        <v>682</v>
      </c>
      <c r="C50" s="3">
        <v>250</v>
      </c>
      <c r="D50" s="3">
        <f>2396+2560</f>
        <v>4956</v>
      </c>
      <c r="E50" s="3">
        <v>1492</v>
      </c>
      <c r="F50" s="3">
        <v>3000</v>
      </c>
    </row>
    <row r="51" spans="1:6" ht="12.75">
      <c r="A51" s="3" t="s">
        <v>52</v>
      </c>
      <c r="B51" s="8">
        <f>1025+235</f>
        <v>1260</v>
      </c>
      <c r="C51" s="3">
        <f>20+460+40+39</f>
        <v>559</v>
      </c>
      <c r="D51" s="3">
        <f>20+2673+1551</f>
        <v>4244</v>
      </c>
      <c r="E51" s="3">
        <f>119+3700+597+239</f>
        <v>4655</v>
      </c>
      <c r="F51" s="3">
        <f>2496+240+7440+480+1200+750</f>
        <v>12606</v>
      </c>
    </row>
    <row r="52" spans="1:6" ht="12.75">
      <c r="A52" s="3" t="s">
        <v>53</v>
      </c>
      <c r="B52" s="8">
        <f>327</f>
        <v>327</v>
      </c>
      <c r="C52" s="3">
        <v>517</v>
      </c>
      <c r="D52" s="3">
        <v>5018</v>
      </c>
      <c r="E52" s="3">
        <v>3085</v>
      </c>
      <c r="F52" s="3">
        <v>6204</v>
      </c>
    </row>
    <row r="53" spans="1:6" ht="12.75">
      <c r="A53" s="3" t="s">
        <v>54</v>
      </c>
      <c r="B53" s="8">
        <f>340</f>
        <v>340</v>
      </c>
      <c r="C53" s="3">
        <f>160+200+410</f>
        <v>770</v>
      </c>
      <c r="D53" s="3">
        <f>2100+401+6414</f>
        <v>8915</v>
      </c>
      <c r="E53" s="3">
        <f>1194+2447+1100</f>
        <v>4741</v>
      </c>
      <c r="F53" s="3">
        <f>4920+2400+1100</f>
        <v>8420</v>
      </c>
    </row>
    <row r="54" spans="1:6" ht="12.75">
      <c r="A54" s="3" t="s">
        <v>55</v>
      </c>
      <c r="B54" s="8">
        <f>452+461</f>
        <v>913</v>
      </c>
      <c r="C54" s="3">
        <f>200+266</f>
        <v>466</v>
      </c>
      <c r="D54" s="3">
        <f>1852+1605</f>
        <v>3457</v>
      </c>
      <c r="E54" s="3">
        <f>1194+1587</f>
        <v>2781</v>
      </c>
      <c r="F54" s="3">
        <f>2400+3192</f>
        <v>5592</v>
      </c>
    </row>
    <row r="55" spans="1:6" ht="12.75">
      <c r="A55" s="3" t="s">
        <v>56</v>
      </c>
      <c r="B55" s="8">
        <v>486</v>
      </c>
      <c r="C55" s="3">
        <v>541</v>
      </c>
      <c r="D55" s="3">
        <v>3220</v>
      </c>
      <c r="E55" s="3">
        <v>3229</v>
      </c>
      <c r="F55" s="3">
        <v>6492</v>
      </c>
    </row>
    <row r="56" spans="1:6" ht="12.75">
      <c r="A56" s="3" t="s">
        <v>57</v>
      </c>
      <c r="B56" s="8">
        <v>450</v>
      </c>
      <c r="D56" s="3">
        <v>7526</v>
      </c>
      <c r="E56" s="3">
        <v>9237</v>
      </c>
      <c r="F56" s="3">
        <v>14237</v>
      </c>
    </row>
    <row r="57" spans="1:6" ht="12.75">
      <c r="A57" s="3" t="s">
        <v>58</v>
      </c>
      <c r="B57" s="8">
        <f>200+375+381+1079+198</f>
        <v>2233</v>
      </c>
      <c r="C57" s="3">
        <f>388+95+208+145+100+85+185</f>
        <v>1206</v>
      </c>
      <c r="D57" s="3">
        <f>19001-5018-2100+678</f>
        <v>12561</v>
      </c>
      <c r="E57" s="3">
        <f>9197-3085-1194</f>
        <v>4918</v>
      </c>
      <c r="F57" s="3">
        <f>9841+300</f>
        <v>10141</v>
      </c>
    </row>
    <row r="58" spans="1:6" ht="12.75">
      <c r="A58" s="3" t="s">
        <v>59</v>
      </c>
      <c r="B58" s="8">
        <f>602+196</f>
        <v>798</v>
      </c>
      <c r="C58" s="3">
        <f>208+145</f>
        <v>353</v>
      </c>
      <c r="D58" s="3">
        <f>300+757+1176</f>
        <v>2233</v>
      </c>
      <c r="E58" s="3">
        <f>597+1146</f>
        <v>1743</v>
      </c>
      <c r="F58" s="3">
        <f>1200+2304</f>
        <v>3504</v>
      </c>
    </row>
    <row r="59" spans="1:6" ht="12.75">
      <c r="A59" s="3" t="s">
        <v>60</v>
      </c>
      <c r="B59" s="8">
        <f>105+44+967</f>
        <v>1116</v>
      </c>
      <c r="C59" s="3">
        <f>666+1000+666</f>
        <v>2332</v>
      </c>
      <c r="D59" s="3">
        <f>13890+368+1539+3831</f>
        <v>19628</v>
      </c>
      <c r="E59" s="3">
        <f>5968+3985+3000+3011</f>
        <v>15964</v>
      </c>
      <c r="F59" s="3">
        <f>18010+7992</f>
        <v>26002</v>
      </c>
    </row>
    <row r="60" spans="1:6" s="6" customFormat="1" ht="12.75">
      <c r="A60" s="6" t="s">
        <v>61</v>
      </c>
      <c r="B60" s="8">
        <f>SUM(B39:B59)</f>
        <v>26824</v>
      </c>
      <c r="C60" s="6">
        <f>SUM(C39:C59)</f>
        <v>20962</v>
      </c>
      <c r="D60" s="6">
        <f>SUM(D39:D59)</f>
        <v>130769</v>
      </c>
      <c r="E60" s="6">
        <f>SUM(E39:E59)</f>
        <v>112998</v>
      </c>
      <c r="F60" s="6">
        <f>SUM(F39:F59)</f>
        <v>239682</v>
      </c>
    </row>
    <row r="61" spans="2:6" ht="12.75">
      <c r="B61" s="9">
        <f>B30+B36+B60</f>
        <v>79006</v>
      </c>
      <c r="C61" s="3">
        <f>C30+C36+C60</f>
        <v>73307</v>
      </c>
      <c r="D61" s="3">
        <f>D30+D36+D60</f>
        <v>415165</v>
      </c>
      <c r="E61" s="3">
        <f>E30+E36+E60</f>
        <v>389370</v>
      </c>
      <c r="F61" s="3">
        <f>F30+F36+F60</f>
        <v>793302</v>
      </c>
    </row>
    <row r="64" ht="12.75">
      <c r="A64" s="3" t="s">
        <v>62</v>
      </c>
    </row>
    <row r="65" ht="12.75">
      <c r="A65" s="3" t="s">
        <v>63</v>
      </c>
    </row>
    <row r="66" ht="12.75">
      <c r="A66" s="3" t="s">
        <v>64</v>
      </c>
    </row>
  </sheetData>
  <printOptions gridLines="1"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25" sqref="A1:A16384"/>
    </sheetView>
  </sheetViews>
  <sheetFormatPr defaultColWidth="9.140625" defaultRowHeight="12.75"/>
  <cols>
    <col min="1" max="1" width="38.421875" style="3" customWidth="1"/>
    <col min="2" max="2" width="14.421875" style="3" customWidth="1"/>
    <col min="3" max="3" width="14.140625" style="3" customWidth="1"/>
    <col min="4" max="4" width="13.140625" style="3" customWidth="1"/>
    <col min="5" max="5" width="15.28125" style="3" customWidth="1"/>
    <col min="6" max="6" width="17.421875" style="3" customWidth="1"/>
    <col min="7" max="7" width="12.28125" style="3" bestFit="1" customWidth="1"/>
    <col min="8" max="8" width="12.8515625" style="3" bestFit="1" customWidth="1"/>
    <col min="9" max="9" width="14.00390625" style="3" bestFit="1" customWidth="1"/>
    <col min="10" max="16384" width="9.140625" style="3" customWidth="1"/>
  </cols>
  <sheetData>
    <row r="1" spans="2:6" s="1" customFormat="1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s="1" customFormat="1" ht="12.75">
      <c r="A2" s="1" t="s">
        <v>65</v>
      </c>
      <c r="B2" s="1" t="s">
        <v>66</v>
      </c>
      <c r="C2" s="1" t="s">
        <v>66</v>
      </c>
      <c r="D2" s="1" t="s">
        <v>67</v>
      </c>
      <c r="E2" s="1" t="s">
        <v>67</v>
      </c>
      <c r="F2" s="1" t="s">
        <v>8</v>
      </c>
    </row>
    <row r="4" spans="1:6" ht="12.75">
      <c r="A4" s="3" t="s">
        <v>9</v>
      </c>
      <c r="B4" s="3">
        <f>84001+3290</f>
        <v>87291</v>
      </c>
      <c r="C4" s="3">
        <f>90065+3290</f>
        <v>93355</v>
      </c>
      <c r="D4" s="3">
        <f>444104+17076+3290</f>
        <v>464470</v>
      </c>
      <c r="E4" s="3">
        <f>418405+17076+3290</f>
        <v>438771</v>
      </c>
      <c r="F4" s="3">
        <f>851577</f>
        <v>851577</v>
      </c>
    </row>
    <row r="5" spans="1:6" s="4" customFormat="1" ht="12.75">
      <c r="A5" s="4" t="s">
        <v>10</v>
      </c>
      <c r="B5" s="4">
        <f>66901+3290</f>
        <v>70191</v>
      </c>
      <c r="C5" s="4">
        <f>64913+3290</f>
        <v>68203</v>
      </c>
      <c r="D5" s="3">
        <f>335715+17076+3290</f>
        <v>356081</v>
      </c>
      <c r="E5" s="4">
        <f>317835+17076+3290</f>
        <v>338201</v>
      </c>
      <c r="F5" s="4">
        <v>793302</v>
      </c>
    </row>
    <row r="6" spans="1:6" s="5" customFormat="1" ht="12.75">
      <c r="A6" s="5" t="s">
        <v>11</v>
      </c>
      <c r="B6" s="5">
        <f>B4-B5</f>
        <v>17100</v>
      </c>
      <c r="C6" s="5">
        <f>C4-C5</f>
        <v>25152</v>
      </c>
      <c r="D6" s="5">
        <f>D4-D5</f>
        <v>108389</v>
      </c>
      <c r="E6" s="5">
        <f>E4-E5</f>
        <v>100570</v>
      </c>
      <c r="F6" s="5">
        <f>F4-F5</f>
        <v>58275</v>
      </c>
    </row>
    <row r="8" spans="1:6" ht="12.75">
      <c r="A8" s="6" t="s">
        <v>12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</row>
    <row r="9" spans="1:6" ht="12.75">
      <c r="A9" s="3" t="s">
        <v>13</v>
      </c>
      <c r="B9" s="6">
        <v>48723</v>
      </c>
      <c r="C9" s="3">
        <v>44910</v>
      </c>
      <c r="D9" s="3">
        <v>239449</v>
      </c>
      <c r="E9" s="3">
        <v>236985</v>
      </c>
      <c r="F9" s="3">
        <f>546785-196</f>
        <v>546589</v>
      </c>
    </row>
    <row r="10" spans="1:2" ht="12.75">
      <c r="A10" s="3" t="s">
        <v>14</v>
      </c>
      <c r="B10" s="6"/>
    </row>
    <row r="11" spans="1:6" ht="12.75">
      <c r="A11" s="3" t="s">
        <v>15</v>
      </c>
      <c r="B11" s="6">
        <v>15253</v>
      </c>
      <c r="C11" s="3">
        <v>30000</v>
      </c>
      <c r="D11" s="3">
        <v>88277</v>
      </c>
      <c r="E11" s="3">
        <v>80000</v>
      </c>
      <c r="F11" s="3">
        <v>89200</v>
      </c>
    </row>
    <row r="12" spans="1:6" ht="12.75">
      <c r="A12" s="3" t="s">
        <v>16</v>
      </c>
      <c r="B12" s="6">
        <v>5815</v>
      </c>
      <c r="C12" s="3">
        <v>3000</v>
      </c>
      <c r="D12" s="3">
        <v>21955</v>
      </c>
      <c r="E12" s="3">
        <v>24200</v>
      </c>
      <c r="F12" s="3">
        <v>62400</v>
      </c>
    </row>
    <row r="13" spans="1:6" ht="12.75">
      <c r="A13" s="3" t="s">
        <v>68</v>
      </c>
      <c r="B13" s="6"/>
      <c r="C13" s="3">
        <v>100</v>
      </c>
      <c r="E13" s="3">
        <v>100</v>
      </c>
      <c r="F13" s="3">
        <v>6800</v>
      </c>
    </row>
    <row r="14" spans="1:6" ht="12.75">
      <c r="A14" s="3" t="s">
        <v>18</v>
      </c>
      <c r="B14" s="6">
        <v>3290</v>
      </c>
      <c r="C14" s="3">
        <v>3290</v>
      </c>
      <c r="D14" s="3">
        <v>17076</v>
      </c>
      <c r="E14" s="3">
        <v>17076</v>
      </c>
      <c r="F14" s="3">
        <v>17076</v>
      </c>
    </row>
    <row r="15" spans="1:6" ht="12.75">
      <c r="A15" s="3" t="s">
        <v>19</v>
      </c>
      <c r="B15" s="6">
        <v>900</v>
      </c>
      <c r="C15" s="3">
        <v>1500</v>
      </c>
      <c r="D15" s="3">
        <v>30500</v>
      </c>
      <c r="E15" s="3">
        <v>37450</v>
      </c>
      <c r="F15" s="3">
        <v>30350</v>
      </c>
    </row>
    <row r="16" spans="1:6" ht="12.75">
      <c r="A16" s="3" t="s">
        <v>20</v>
      </c>
      <c r="B16" s="6"/>
      <c r="C16" s="3">
        <v>650</v>
      </c>
      <c r="D16" s="3">
        <v>3770</v>
      </c>
      <c r="E16" s="3">
        <v>5725</v>
      </c>
      <c r="F16" s="3">
        <v>26575</v>
      </c>
    </row>
    <row r="17" spans="1:6" ht="12.75">
      <c r="A17" s="3" t="s">
        <v>21</v>
      </c>
      <c r="B17" s="6">
        <f>3050+200-120+6</f>
        <v>3136</v>
      </c>
      <c r="C17" s="3">
        <f>1550+6900+25</f>
        <v>8475</v>
      </c>
      <c r="D17" s="3">
        <f>4530+528+145+3290</f>
        <v>8493</v>
      </c>
      <c r="E17" s="3">
        <f>2950+6900+120+425+3290</f>
        <v>13685</v>
      </c>
      <c r="F17" s="3">
        <f>7350+5450+282+1325</f>
        <v>14407</v>
      </c>
    </row>
    <row r="18" spans="1:6" ht="12.75">
      <c r="A18" s="7" t="s">
        <v>22</v>
      </c>
      <c r="B18" s="6">
        <f>8974</f>
        <v>8974</v>
      </c>
      <c r="C18" s="3">
        <v>230</v>
      </c>
      <c r="D18" s="3">
        <v>45950</v>
      </c>
      <c r="E18" s="3">
        <v>15150</v>
      </c>
      <c r="F18" s="3">
        <v>41380</v>
      </c>
    </row>
    <row r="19" spans="1:6" ht="12.75">
      <c r="A19" s="3" t="s">
        <v>23</v>
      </c>
      <c r="B19" s="6">
        <v>1200</v>
      </c>
      <c r="C19" s="3">
        <v>1200</v>
      </c>
      <c r="D19" s="3">
        <v>9000</v>
      </c>
      <c r="E19" s="3">
        <v>8400</v>
      </c>
      <c r="F19" s="3">
        <v>16800</v>
      </c>
    </row>
    <row r="20" spans="1:6" s="6" customFormat="1" ht="12.75">
      <c r="A20" s="6" t="s">
        <v>24</v>
      </c>
      <c r="B20" s="6">
        <f>SUM(B9:B19)</f>
        <v>87291</v>
      </c>
      <c r="C20" s="6">
        <f>SUM(C9:C19)</f>
        <v>93355</v>
      </c>
      <c r="D20" s="6">
        <f>SUM(D9:D19)</f>
        <v>464470</v>
      </c>
      <c r="E20" s="6">
        <f>SUM(E9:E19)</f>
        <v>438771</v>
      </c>
      <c r="F20" s="6">
        <f>SUM(F9:F19)</f>
        <v>851577</v>
      </c>
    </row>
    <row r="22" ht="12.75">
      <c r="A22" s="6" t="s">
        <v>25</v>
      </c>
    </row>
    <row r="23" spans="1:6" ht="12.75">
      <c r="A23" s="6" t="s">
        <v>26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</row>
    <row r="24" spans="1:6" ht="12.75">
      <c r="A24" s="3" t="s">
        <v>27</v>
      </c>
      <c r="B24" s="8">
        <v>441</v>
      </c>
      <c r="C24" s="3">
        <v>420</v>
      </c>
      <c r="D24" s="3">
        <v>2166</v>
      </c>
      <c r="E24" s="3">
        <v>2100</v>
      </c>
      <c r="F24" s="3">
        <v>2544</v>
      </c>
    </row>
    <row r="25" spans="1:6" ht="12.75">
      <c r="A25" s="3" t="s">
        <v>28</v>
      </c>
      <c r="B25" s="8">
        <v>1651</v>
      </c>
      <c r="C25" s="3">
        <v>1782</v>
      </c>
      <c r="D25" s="3">
        <v>8973</v>
      </c>
      <c r="E25" s="3">
        <v>9354</v>
      </c>
      <c r="F25" s="3">
        <v>23160</v>
      </c>
    </row>
    <row r="26" spans="1:6" ht="12.75">
      <c r="A26" s="3" t="s">
        <v>29</v>
      </c>
      <c r="B26" s="8">
        <v>2940</v>
      </c>
      <c r="C26" s="3">
        <v>2940</v>
      </c>
      <c r="D26" s="3">
        <v>14700</v>
      </c>
      <c r="E26" s="3">
        <v>14700</v>
      </c>
      <c r="F26" s="3">
        <v>35280</v>
      </c>
    </row>
    <row r="27" spans="1:6" ht="12.75">
      <c r="A27" s="3" t="s">
        <v>30</v>
      </c>
      <c r="B27" s="8">
        <f>758.62+64+108.2+46.4+785.98+72.5+883.55</f>
        <v>2719.25</v>
      </c>
      <c r="C27" s="3">
        <f>706+64+89+52+786+112+681</f>
        <v>2490</v>
      </c>
      <c r="D27" s="3">
        <f>3661+320+498+242+3930+335+4408</f>
        <v>13394</v>
      </c>
      <c r="E27" s="1">
        <f>3530+320+445+260+3930+560+3405</f>
        <v>12450</v>
      </c>
      <c r="F27" s="3">
        <f>8472+768+1068+624+9432+1344+8172</f>
        <v>29880</v>
      </c>
    </row>
    <row r="28" spans="1:6" ht="12.75">
      <c r="A28" s="3" t="s">
        <v>31</v>
      </c>
      <c r="B28" s="8">
        <v>2810</v>
      </c>
      <c r="C28" s="3">
        <v>2750</v>
      </c>
      <c r="D28" s="3">
        <v>14050</v>
      </c>
      <c r="E28" s="3">
        <v>13750</v>
      </c>
      <c r="F28" s="3">
        <v>33000</v>
      </c>
    </row>
    <row r="29" spans="1:6" ht="12.75">
      <c r="A29" s="3" t="s">
        <v>32</v>
      </c>
      <c r="B29" s="8">
        <v>5820</v>
      </c>
      <c r="C29" s="3">
        <f>5820+228</f>
        <v>6048</v>
      </c>
      <c r="D29" s="3">
        <v>29100</v>
      </c>
      <c r="E29" s="3">
        <f>29100+1140</f>
        <v>30240</v>
      </c>
      <c r="F29" s="3">
        <f>69840+2736</f>
        <v>72576</v>
      </c>
    </row>
    <row r="30" spans="1:6" s="6" customFormat="1" ht="12.75">
      <c r="A30" s="6" t="s">
        <v>33</v>
      </c>
      <c r="B30" s="6">
        <f>SUM(B24:B29)</f>
        <v>16381.25</v>
      </c>
      <c r="C30" s="6">
        <f>SUM(C24:C29)</f>
        <v>16430</v>
      </c>
      <c r="D30" s="6">
        <f>SUM(D24:D29)</f>
        <v>82383</v>
      </c>
      <c r="E30" s="6">
        <f>SUM(E24:E29)</f>
        <v>82594</v>
      </c>
      <c r="F30" s="6">
        <f>SUM(F24:F29)</f>
        <v>196440</v>
      </c>
    </row>
    <row r="32" spans="1:6" ht="12.75">
      <c r="A32" s="6" t="s">
        <v>34</v>
      </c>
      <c r="B32" s="2" t="s">
        <v>0</v>
      </c>
      <c r="C32" s="2" t="s">
        <v>1</v>
      </c>
      <c r="D32" s="2" t="s">
        <v>2</v>
      </c>
      <c r="E32" s="2" t="s">
        <v>3</v>
      </c>
      <c r="F32" s="2" t="s">
        <v>4</v>
      </c>
    </row>
    <row r="33" spans="1:6" ht="12.75">
      <c r="A33" s="3" t="s">
        <v>35</v>
      </c>
      <c r="B33" s="8">
        <v>3925</v>
      </c>
      <c r="C33" s="3">
        <v>4985</v>
      </c>
      <c r="D33" s="3">
        <v>22960</v>
      </c>
      <c r="E33" s="3">
        <v>24925</v>
      </c>
      <c r="F33" s="3">
        <v>59820</v>
      </c>
    </row>
    <row r="34" spans="1:6" ht="12.75">
      <c r="A34" s="3" t="s">
        <v>36</v>
      </c>
      <c r="B34" s="8">
        <v>0</v>
      </c>
      <c r="C34" s="3">
        <v>500</v>
      </c>
      <c r="D34" s="3">
        <v>800</v>
      </c>
      <c r="E34" s="3">
        <v>2500</v>
      </c>
      <c r="F34" s="3">
        <v>6000</v>
      </c>
    </row>
    <row r="35" spans="1:6" ht="12.75">
      <c r="A35" s="3" t="s">
        <v>37</v>
      </c>
      <c r="B35" s="8">
        <f>11884+9777+1925</f>
        <v>23586</v>
      </c>
      <c r="C35" s="3">
        <f>13897+6355+1950</f>
        <v>22202</v>
      </c>
      <c r="D35" s="3">
        <f>60773+56195+8839</f>
        <v>125807</v>
      </c>
      <c r="E35" s="3">
        <f>72960+33434+8300</f>
        <v>114694</v>
      </c>
      <c r="F35" s="3">
        <f>180664+82896+27800</f>
        <v>291360</v>
      </c>
    </row>
    <row r="36" spans="1:6" s="6" customFormat="1" ht="12.75">
      <c r="A36" s="6" t="s">
        <v>38</v>
      </c>
      <c r="B36" s="6">
        <f>SUM(B33:B35)</f>
        <v>27511</v>
      </c>
      <c r="C36" s="6">
        <f>SUM(C33:C35)</f>
        <v>27687</v>
      </c>
      <c r="D36" s="6">
        <f>SUM(D33:D35)</f>
        <v>149567</v>
      </c>
      <c r="E36" s="6">
        <f>SUM(E33:E35)</f>
        <v>142119</v>
      </c>
      <c r="F36" s="6">
        <f>SUM(F33:F35)</f>
        <v>357180</v>
      </c>
    </row>
    <row r="38" spans="1:6" ht="12.75">
      <c r="A38" s="6" t="s">
        <v>39</v>
      </c>
      <c r="B38" s="2" t="s">
        <v>0</v>
      </c>
      <c r="C38" s="2" t="s">
        <v>1</v>
      </c>
      <c r="D38" s="2" t="s">
        <v>2</v>
      </c>
      <c r="E38" s="2" t="s">
        <v>3</v>
      </c>
      <c r="F38" s="2" t="s">
        <v>4</v>
      </c>
    </row>
    <row r="39" spans="1:6" ht="12.75">
      <c r="A39" s="3" t="s">
        <v>40</v>
      </c>
      <c r="B39" s="8">
        <f>1964+972+766</f>
        <v>3702</v>
      </c>
      <c r="C39" s="3">
        <f>350+100+475+508+2300+732</f>
        <v>4465</v>
      </c>
      <c r="D39" s="3">
        <f>2901+3215+6382+1964+949+2378</f>
        <v>17789</v>
      </c>
      <c r="E39" s="3">
        <f>2540+8500+3660+500+1750+500+2275</f>
        <v>19725</v>
      </c>
      <c r="F39" s="3">
        <f>6096+24600+8784+4200+1200+5600</f>
        <v>50480</v>
      </c>
    </row>
    <row r="40" spans="1:2" ht="12.75">
      <c r="A40" s="3" t="s">
        <v>41</v>
      </c>
      <c r="B40" s="8"/>
    </row>
    <row r="41" spans="1:6" ht="12.75">
      <c r="A41" s="3" t="s">
        <v>42</v>
      </c>
      <c r="B41" s="8">
        <f>471+405+1022</f>
        <v>1898</v>
      </c>
      <c r="C41" s="3">
        <f>800+350+1000</f>
        <v>2150</v>
      </c>
      <c r="D41" s="3">
        <f>631+887+2251</f>
        <v>3769</v>
      </c>
      <c r="E41" s="3">
        <f>2400+1100+3000</f>
        <v>6500</v>
      </c>
      <c r="F41" s="3">
        <f>8000+3550+10000</f>
        <v>21550</v>
      </c>
    </row>
    <row r="42" spans="1:6" ht="12.75">
      <c r="A42" s="3" t="s">
        <v>43</v>
      </c>
      <c r="B42" s="8">
        <v>576</v>
      </c>
      <c r="C42" s="3">
        <v>353</v>
      </c>
      <c r="D42" s="3">
        <v>1413</v>
      </c>
      <c r="E42" s="3">
        <v>1765</v>
      </c>
      <c r="F42" s="3">
        <v>4236</v>
      </c>
    </row>
    <row r="43" spans="1:6" ht="12.75">
      <c r="A43" s="3" t="s">
        <v>44</v>
      </c>
      <c r="B43" s="8">
        <v>1114</v>
      </c>
      <c r="C43" s="3">
        <v>1574</v>
      </c>
      <c r="D43" s="3">
        <v>6404</v>
      </c>
      <c r="E43" s="3">
        <v>7870</v>
      </c>
      <c r="F43" s="3">
        <v>18888</v>
      </c>
    </row>
    <row r="44" spans="1:6" ht="12.75">
      <c r="A44" s="3" t="s">
        <v>45</v>
      </c>
      <c r="B44" s="8">
        <v>585</v>
      </c>
      <c r="C44" s="3">
        <v>585</v>
      </c>
      <c r="D44" s="3">
        <v>1586</v>
      </c>
      <c r="E44" s="3">
        <v>2925</v>
      </c>
      <c r="F44" s="3">
        <v>7020</v>
      </c>
    </row>
    <row r="45" spans="1:6" ht="12.75">
      <c r="A45" s="3" t="s">
        <v>46</v>
      </c>
      <c r="B45" s="8">
        <f>949-585</f>
        <v>364</v>
      </c>
      <c r="C45" s="3">
        <v>788</v>
      </c>
      <c r="D45" s="3">
        <v>3905</v>
      </c>
      <c r="E45" s="3">
        <v>3940</v>
      </c>
      <c r="F45" s="3">
        <v>2364</v>
      </c>
    </row>
    <row r="46" spans="1:6" ht="12.75">
      <c r="A46" s="3" t="s">
        <v>47</v>
      </c>
      <c r="B46" s="8">
        <v>551</v>
      </c>
      <c r="C46" s="3">
        <v>315</v>
      </c>
      <c r="D46" s="3">
        <v>2611</v>
      </c>
      <c r="E46" s="3">
        <v>1575</v>
      </c>
      <c r="F46" s="3">
        <v>3780</v>
      </c>
    </row>
    <row r="47" spans="1:6" ht="12.75">
      <c r="A47" s="3" t="s">
        <v>48</v>
      </c>
      <c r="B47" s="8">
        <f>2130-426</f>
        <v>1704</v>
      </c>
      <c r="C47" s="3">
        <v>307</v>
      </c>
      <c r="D47" s="3">
        <f>544+430+1809</f>
        <v>2783</v>
      </c>
      <c r="E47" s="3">
        <f>600+935</f>
        <v>1535</v>
      </c>
      <c r="F47" s="3">
        <v>15684</v>
      </c>
    </row>
    <row r="48" spans="1:6" ht="12.75">
      <c r="A48" s="3" t="s">
        <v>49</v>
      </c>
      <c r="B48" s="8">
        <v>100</v>
      </c>
      <c r="C48" s="3">
        <v>916</v>
      </c>
      <c r="D48" s="3">
        <v>600</v>
      </c>
      <c r="E48" s="3">
        <v>2032</v>
      </c>
      <c r="F48" s="3">
        <v>5696</v>
      </c>
    </row>
    <row r="49" spans="1:6" ht="12.75">
      <c r="A49" s="3" t="s">
        <v>50</v>
      </c>
      <c r="B49" s="8">
        <v>3290</v>
      </c>
      <c r="C49" s="3">
        <v>3290</v>
      </c>
      <c r="D49" s="3">
        <f>17076+3290</f>
        <v>20366</v>
      </c>
      <c r="E49" s="3">
        <f>17076+3290</f>
        <v>20366</v>
      </c>
      <c r="F49" s="3">
        <v>13786</v>
      </c>
    </row>
    <row r="50" spans="1:6" ht="12.75">
      <c r="A50" s="3" t="s">
        <v>51</v>
      </c>
      <c r="B50" s="8">
        <f>1564+354</f>
        <v>1918</v>
      </c>
      <c r="C50" s="3">
        <v>250</v>
      </c>
      <c r="D50" s="3">
        <f>1715+2560</f>
        <v>4275</v>
      </c>
      <c r="E50" s="3">
        <v>1250</v>
      </c>
      <c r="F50" s="3">
        <v>3000</v>
      </c>
    </row>
    <row r="51" spans="1:6" ht="12.75">
      <c r="A51" s="3" t="s">
        <v>52</v>
      </c>
      <c r="B51" s="8">
        <f>504</f>
        <v>504</v>
      </c>
      <c r="C51" s="3">
        <f>20+460+100+40</f>
        <v>620</v>
      </c>
      <c r="D51" s="3">
        <f>20+1648+300+22+1314</f>
        <v>3304</v>
      </c>
      <c r="E51" s="3">
        <f>100+2300+200+750</f>
        <v>3350</v>
      </c>
      <c r="F51" s="3">
        <f>2496+240+7440+480+1200+750</f>
        <v>12606</v>
      </c>
    </row>
    <row r="52" spans="1:6" ht="12.75">
      <c r="A52" s="3" t="s">
        <v>53</v>
      </c>
      <c r="B52" s="8">
        <v>43</v>
      </c>
      <c r="C52" s="3">
        <v>517</v>
      </c>
      <c r="D52" s="3">
        <v>4692</v>
      </c>
      <c r="E52" s="3">
        <v>2585</v>
      </c>
      <c r="F52" s="3">
        <v>6204</v>
      </c>
    </row>
    <row r="53" spans="1:6" ht="12.75">
      <c r="A53" s="3" t="s">
        <v>54</v>
      </c>
      <c r="B53" s="8">
        <v>2490</v>
      </c>
      <c r="C53" s="3">
        <f>410+200+160+1100</f>
        <v>1870</v>
      </c>
      <c r="D53" s="3">
        <f>6314+61+2100+29</f>
        <v>8504</v>
      </c>
      <c r="E53" s="3">
        <f>2050+1000+800+1100</f>
        <v>4950</v>
      </c>
      <c r="F53" s="3">
        <f>4920+2400+1100</f>
        <v>8420</v>
      </c>
    </row>
    <row r="54" spans="1:6" ht="12.75">
      <c r="A54" s="3" t="s">
        <v>55</v>
      </c>
      <c r="B54" s="8">
        <v>1062</v>
      </c>
      <c r="C54" s="3">
        <f>200+266</f>
        <v>466</v>
      </c>
      <c r="D54" s="3">
        <f>1501+1143</f>
        <v>2644</v>
      </c>
      <c r="E54" s="3">
        <f>1000+1330</f>
        <v>2330</v>
      </c>
      <c r="F54" s="3">
        <f>2400+3192</f>
        <v>5592</v>
      </c>
    </row>
    <row r="55" spans="1:6" ht="12.75">
      <c r="A55" s="3" t="s">
        <v>56</v>
      </c>
      <c r="B55" s="8">
        <v>850</v>
      </c>
      <c r="C55" s="3">
        <v>541</v>
      </c>
      <c r="D55" s="3">
        <v>2734</v>
      </c>
      <c r="E55" s="3">
        <v>2705</v>
      </c>
      <c r="F55" s="3">
        <v>6492</v>
      </c>
    </row>
    <row r="56" spans="1:6" ht="12.75">
      <c r="A56" s="3" t="s">
        <v>57</v>
      </c>
      <c r="B56" s="8">
        <v>2226</v>
      </c>
      <c r="C56" s="3">
        <v>1737</v>
      </c>
      <c r="D56" s="3">
        <v>7076</v>
      </c>
      <c r="E56" s="3">
        <v>9237</v>
      </c>
      <c r="F56" s="3">
        <v>14237</v>
      </c>
    </row>
    <row r="57" spans="1:6" ht="12.75">
      <c r="A57" s="3" t="s">
        <v>58</v>
      </c>
      <c r="B57" s="8">
        <f>62+180+1.75</f>
        <v>243.75</v>
      </c>
      <c r="C57" s="3">
        <f>95+208+145+85+185</f>
        <v>718</v>
      </c>
      <c r="D57" s="3">
        <f>770+8671+384+22+481-200</f>
        <v>10128</v>
      </c>
      <c r="E57" s="3">
        <f>150+475+725+425+925+1040-30</f>
        <v>3710</v>
      </c>
      <c r="F57" s="3">
        <f>9841+300</f>
        <v>10141</v>
      </c>
    </row>
    <row r="58" spans="1:6" ht="12.75">
      <c r="A58" s="3" t="s">
        <v>59</v>
      </c>
      <c r="B58" s="8">
        <f>60+196</f>
        <v>256</v>
      </c>
      <c r="C58" s="3">
        <f>100+192</f>
        <v>292</v>
      </c>
      <c r="D58" s="3">
        <f>156+980</f>
        <v>1136</v>
      </c>
      <c r="E58" s="3">
        <f>500+960</f>
        <v>1460</v>
      </c>
      <c r="F58" s="3">
        <f>1200+2304</f>
        <v>3504</v>
      </c>
    </row>
    <row r="59" spans="1:6" ht="12.75">
      <c r="A59" s="3" t="s">
        <v>60</v>
      </c>
      <c r="B59" s="8">
        <f>1687+709+426</f>
        <v>2822</v>
      </c>
      <c r="C59" s="3">
        <f>666+1000+666</f>
        <v>2332</v>
      </c>
      <c r="D59" s="3">
        <f>13785+324+1439+2864</f>
        <v>18412</v>
      </c>
      <c r="E59" s="3">
        <f>3000+2348+5000+3330</f>
        <v>13678</v>
      </c>
      <c r="F59" s="3">
        <f>18010+7992</f>
        <v>26002</v>
      </c>
    </row>
    <row r="60" spans="1:6" s="6" customFormat="1" ht="12.75">
      <c r="A60" s="6" t="s">
        <v>61</v>
      </c>
      <c r="B60" s="8">
        <f>SUM(B39:B59)</f>
        <v>26298.75</v>
      </c>
      <c r="C60" s="6">
        <f>SUM(C39:C59)</f>
        <v>24086</v>
      </c>
      <c r="D60" s="6">
        <f>SUM(D39:D59)</f>
        <v>124131</v>
      </c>
      <c r="E60" s="6">
        <f>SUM(E39:E59)</f>
        <v>113488</v>
      </c>
      <c r="F60" s="6">
        <f>SUM(F39:F59)</f>
        <v>239682</v>
      </c>
    </row>
    <row r="61" spans="2:6" ht="12.75">
      <c r="B61" s="9">
        <f>B30+B36+B60</f>
        <v>70191</v>
      </c>
      <c r="C61" s="3">
        <f>C30+C36+C60</f>
        <v>68203</v>
      </c>
      <c r="D61" s="3">
        <f>D30+D36+D60</f>
        <v>356081</v>
      </c>
      <c r="E61" s="3">
        <f>E30+E36+E60</f>
        <v>338201</v>
      </c>
      <c r="F61" s="3">
        <f>F30+F36+F60</f>
        <v>793302</v>
      </c>
    </row>
    <row r="64" ht="12.75">
      <c r="A64" s="3" t="s">
        <v>69</v>
      </c>
    </row>
    <row r="65" ht="12.75">
      <c r="A65" s="3" t="s">
        <v>63</v>
      </c>
    </row>
    <row r="66" ht="12.75">
      <c r="A66" s="3" t="s">
        <v>64</v>
      </c>
    </row>
  </sheetData>
  <printOptions gridLines="1"/>
  <pageMargins left="0.75" right="0.75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2017-01-18T13:25:47Z</cp:lastPrinted>
  <dcterms:created xsi:type="dcterms:W3CDTF">2017-01-18T13:16:48Z</dcterms:created>
  <dcterms:modified xsi:type="dcterms:W3CDTF">2017-01-25T20:22:27Z</dcterms:modified>
  <cp:category/>
  <cp:version/>
  <cp:contentType/>
  <cp:contentStatus/>
</cp:coreProperties>
</file>